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duarte.rvd\Downloads\"/>
    </mc:Choice>
  </mc:AlternateContent>
  <xr:revisionPtr revIDLastSave="0" documentId="13_ncr:1_{E57513EC-1018-44B6-9241-87716B4A69A1}" xr6:coauthVersionLast="47" xr6:coauthVersionMax="47" xr10:uidLastSave="{00000000-0000-0000-0000-000000000000}"/>
  <bookViews>
    <workbookView xWindow="-110" yWindow="-110" windowWidth="19420" windowHeight="10420" tabRatio="500" firstSheet="2" activeTab="4" xr2:uid="{00000000-000D-0000-FFFF-FFFF00000000}"/>
  </bookViews>
  <sheets>
    <sheet name="Asistente Administrativo" sheetId="5" r:id="rId1"/>
    <sheet name="Motorista Exec." sheetId="10" r:id="rId2"/>
    <sheet name="Uniformes" sheetId="24" r:id="rId3"/>
    <sheet name="LDI" sheetId="13" r:id="rId4"/>
    <sheet name="Planilha de Custos" sheetId="18" r:id="rId5"/>
    <sheet name="Custo Diária c pernoite" sheetId="21" r:id="rId6"/>
    <sheet name="Custo Diária s perinoite" sheetId="2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00" i="18" l="1"/>
  <c r="M90" i="18"/>
  <c r="M81" i="18"/>
  <c r="M74" i="18" l="1"/>
  <c r="M68" i="18"/>
  <c r="M57" i="18"/>
  <c r="M47" i="18"/>
  <c r="M39" i="18"/>
  <c r="M30" i="18"/>
  <c r="M17" i="18"/>
  <c r="M10" i="18"/>
  <c r="K119" i="18"/>
  <c r="B119" i="18"/>
  <c r="M94" i="18"/>
  <c r="M93" i="18"/>
  <c r="M92" i="18"/>
  <c r="N87" i="18"/>
  <c r="N106" i="18" s="1"/>
  <c r="N71" i="18"/>
  <c r="N77" i="18" s="1"/>
  <c r="M63" i="18"/>
  <c r="M62" i="18"/>
  <c r="M61" i="18"/>
  <c r="M60" i="18"/>
  <c r="M51" i="18"/>
  <c r="M49" i="18"/>
  <c r="N34" i="18"/>
  <c r="M27" i="18"/>
  <c r="M52" i="18" s="1"/>
  <c r="M13" i="18"/>
  <c r="M59" i="18" s="1"/>
  <c r="M12" i="18"/>
  <c r="M14" i="18" s="1"/>
  <c r="N32" i="18"/>
  <c r="N36" i="18" s="1"/>
  <c r="N43" i="18" s="1"/>
  <c r="P87" i="18"/>
  <c r="L83" i="18"/>
  <c r="L87" i="18" s="1"/>
  <c r="Q27" i="24"/>
  <c r="Q28" i="24" s="1"/>
  <c r="Q26" i="24"/>
  <c r="Q25" i="24"/>
  <c r="Q24" i="24"/>
  <c r="Q23" i="24"/>
  <c r="K13" i="24"/>
  <c r="J13" i="24"/>
  <c r="J25" i="24"/>
  <c r="J26" i="24"/>
  <c r="J27" i="24"/>
  <c r="J24" i="24"/>
  <c r="J23" i="24"/>
  <c r="Q9" i="24"/>
  <c r="Q10" i="24"/>
  <c r="Q11" i="24"/>
  <c r="Q12" i="24"/>
  <c r="Q13" i="24"/>
  <c r="N6" i="18" l="1"/>
  <c r="N7" i="18" s="1"/>
  <c r="Q8" i="24"/>
  <c r="Q14" i="24" s="1"/>
  <c r="J83" i="18" s="1"/>
  <c r="J87" i="18" s="1"/>
  <c r="N53" i="18" l="1"/>
  <c r="N12" i="18"/>
  <c r="N13" i="18"/>
  <c r="N102" i="18"/>
  <c r="N51" i="18"/>
  <c r="N52" i="18" s="1"/>
  <c r="N49" i="18"/>
  <c r="N50" i="18" l="1"/>
  <c r="N54" i="18" s="1"/>
  <c r="N104" i="18" s="1"/>
  <c r="N14" i="18"/>
  <c r="N41" i="18" s="1"/>
  <c r="K24" i="24" l="1"/>
  <c r="K25" i="24"/>
  <c r="K26" i="24"/>
  <c r="K27" i="24"/>
  <c r="K23" i="24"/>
  <c r="K9" i="24"/>
  <c r="K10" i="24"/>
  <c r="K11" i="24"/>
  <c r="K12" i="24"/>
  <c r="J9" i="24"/>
  <c r="J10" i="24"/>
  <c r="J11" i="24"/>
  <c r="J12" i="24"/>
  <c r="K8" i="24"/>
  <c r="J8" i="24"/>
  <c r="B24" i="24"/>
  <c r="B25" i="24" s="1"/>
  <c r="B26" i="24" s="1"/>
  <c r="B27" i="24" s="1"/>
  <c r="B9" i="24"/>
  <c r="B10" i="24" s="1"/>
  <c r="B11" i="24" s="1"/>
  <c r="B12" i="24" s="1"/>
  <c r="B13" i="24" s="1"/>
  <c r="L12" i="24" l="1"/>
  <c r="M13" i="24"/>
  <c r="L25" i="24"/>
  <c r="L24" i="24"/>
  <c r="L26" i="24"/>
  <c r="M10" i="24"/>
  <c r="L11" i="24"/>
  <c r="L8" i="24"/>
  <c r="M25" i="24"/>
  <c r="M23" i="24"/>
  <c r="L23" i="24"/>
  <c r="M24" i="24"/>
  <c r="M26" i="24"/>
  <c r="L27" i="24"/>
  <c r="M11" i="24"/>
  <c r="M12" i="24"/>
  <c r="M8" i="24"/>
  <c r="L13" i="24"/>
  <c r="L10" i="24"/>
  <c r="L9" i="24"/>
  <c r="M27" i="24" l="1"/>
  <c r="M9" i="24"/>
  <c r="I81" i="18" l="1"/>
  <c r="C13" i="22" l="1"/>
  <c r="C12" i="22"/>
  <c r="C11" i="22"/>
  <c r="C13" i="21"/>
  <c r="C12" i="21"/>
  <c r="C11" i="21"/>
  <c r="D4" i="22"/>
  <c r="D4" i="21"/>
  <c r="C14" i="22" l="1"/>
  <c r="C14" i="21"/>
  <c r="P3" i="18" l="1"/>
  <c r="P6" i="18" s="1"/>
  <c r="L3" i="18"/>
  <c r="J3" i="18"/>
  <c r="J4" i="18" s="1"/>
  <c r="H6" i="18"/>
  <c r="C63" i="18"/>
  <c r="C62" i="18"/>
  <c r="C61" i="18"/>
  <c r="C60" i="18"/>
  <c r="E63" i="18"/>
  <c r="E62" i="18"/>
  <c r="E61" i="18"/>
  <c r="E60" i="18"/>
  <c r="G63" i="18"/>
  <c r="G62" i="18"/>
  <c r="G61" i="18"/>
  <c r="G60" i="18"/>
  <c r="O62" i="18"/>
  <c r="O61" i="18"/>
  <c r="O60" i="18"/>
  <c r="L5" i="18"/>
  <c r="F5" i="18"/>
  <c r="I123" i="18" l="1"/>
  <c r="B120" i="18"/>
  <c r="B118" i="18"/>
  <c r="B117" i="18"/>
  <c r="B116" i="18"/>
  <c r="B115" i="18"/>
  <c r="B114" i="18"/>
  <c r="O100" i="18"/>
  <c r="K100" i="18"/>
  <c r="I100" i="18"/>
  <c r="G100" i="18"/>
  <c r="E100" i="18"/>
  <c r="C100" i="18"/>
  <c r="O94" i="18"/>
  <c r="K94" i="18"/>
  <c r="I94" i="18"/>
  <c r="G94" i="18"/>
  <c r="E94" i="18"/>
  <c r="C94" i="18"/>
  <c r="O93" i="18"/>
  <c r="K93" i="18"/>
  <c r="I93" i="18"/>
  <c r="G93" i="18"/>
  <c r="E93" i="18"/>
  <c r="C93" i="18"/>
  <c r="O92" i="18"/>
  <c r="K92" i="18"/>
  <c r="I92" i="18"/>
  <c r="G92" i="18"/>
  <c r="E92" i="18"/>
  <c r="C92" i="18"/>
  <c r="O90" i="18"/>
  <c r="K90" i="18"/>
  <c r="I90" i="18"/>
  <c r="G90" i="18"/>
  <c r="E90" i="18"/>
  <c r="C90" i="18"/>
  <c r="P106" i="18"/>
  <c r="L106" i="18"/>
  <c r="J106" i="18"/>
  <c r="H87" i="18"/>
  <c r="H106" i="18" s="1"/>
  <c r="F87" i="18"/>
  <c r="F106" i="18" s="1"/>
  <c r="D87" i="18"/>
  <c r="D106" i="18" s="1"/>
  <c r="O81" i="18"/>
  <c r="K81" i="18"/>
  <c r="G81" i="18"/>
  <c r="E81" i="18"/>
  <c r="C81" i="18"/>
  <c r="O74" i="18"/>
  <c r="K74" i="18"/>
  <c r="I74" i="18"/>
  <c r="G74" i="18"/>
  <c r="E74" i="18"/>
  <c r="C74" i="18"/>
  <c r="P71" i="18"/>
  <c r="P77" i="18" s="1"/>
  <c r="L71" i="18"/>
  <c r="L77" i="18" s="1"/>
  <c r="J71" i="18"/>
  <c r="J77" i="18" s="1"/>
  <c r="H71" i="18"/>
  <c r="H77" i="18" s="1"/>
  <c r="F71" i="18"/>
  <c r="F77" i="18" s="1"/>
  <c r="D71" i="18"/>
  <c r="D77" i="18" s="1"/>
  <c r="O68" i="18"/>
  <c r="K68" i="18"/>
  <c r="I68" i="18"/>
  <c r="G68" i="18"/>
  <c r="E68" i="18"/>
  <c r="C68" i="18"/>
  <c r="O63" i="18"/>
  <c r="K63" i="18"/>
  <c r="I63" i="18"/>
  <c r="K62" i="18"/>
  <c r="I62" i="18"/>
  <c r="K61" i="18"/>
  <c r="I61" i="18"/>
  <c r="K60" i="18"/>
  <c r="I60" i="18"/>
  <c r="O57" i="18"/>
  <c r="K57" i="18"/>
  <c r="I57" i="18"/>
  <c r="G57" i="18"/>
  <c r="E57" i="18"/>
  <c r="C57" i="18"/>
  <c r="O51" i="18"/>
  <c r="K51" i="18"/>
  <c r="I51" i="18"/>
  <c r="G51" i="18"/>
  <c r="E51" i="18"/>
  <c r="C51" i="18"/>
  <c r="O49" i="18"/>
  <c r="K49" i="18"/>
  <c r="I49" i="18"/>
  <c r="G49" i="18"/>
  <c r="E49" i="18"/>
  <c r="C49" i="18"/>
  <c r="O47" i="18"/>
  <c r="K47" i="18"/>
  <c r="I47" i="18"/>
  <c r="G47" i="18"/>
  <c r="E47" i="18"/>
  <c r="C47" i="18"/>
  <c r="O39" i="18"/>
  <c r="K39" i="18"/>
  <c r="I39" i="18"/>
  <c r="G39" i="18"/>
  <c r="E39" i="18"/>
  <c r="C39" i="18"/>
  <c r="P34" i="18"/>
  <c r="L34" i="18"/>
  <c r="J34" i="18"/>
  <c r="H34" i="18"/>
  <c r="F34" i="18"/>
  <c r="D34" i="18"/>
  <c r="O30" i="18"/>
  <c r="K30" i="18"/>
  <c r="I30" i="18"/>
  <c r="G30" i="18"/>
  <c r="E30" i="18"/>
  <c r="C30" i="18"/>
  <c r="O27" i="18"/>
  <c r="O52" i="18" s="1"/>
  <c r="K27" i="18"/>
  <c r="K52" i="18" s="1"/>
  <c r="I27" i="18"/>
  <c r="I52" i="18" s="1"/>
  <c r="G27" i="18"/>
  <c r="G52" i="18" s="1"/>
  <c r="E27" i="18"/>
  <c r="E52" i="18" s="1"/>
  <c r="C27" i="18"/>
  <c r="C52" i="18" s="1"/>
  <c r="O17" i="18"/>
  <c r="K17" i="18"/>
  <c r="I17" i="18"/>
  <c r="G17" i="18"/>
  <c r="E17" i="18"/>
  <c r="C17" i="18"/>
  <c r="O13" i="18"/>
  <c r="O59" i="18" s="1"/>
  <c r="K13" i="18"/>
  <c r="I13" i="18"/>
  <c r="I59" i="18" s="1"/>
  <c r="G13" i="18"/>
  <c r="G59" i="18" s="1"/>
  <c r="E13" i="18"/>
  <c r="E59" i="18" s="1"/>
  <c r="C13" i="18"/>
  <c r="C59" i="18" s="1"/>
  <c r="O12" i="18"/>
  <c r="K12" i="18"/>
  <c r="I12" i="18"/>
  <c r="G12" i="18"/>
  <c r="E12" i="18"/>
  <c r="C12" i="18"/>
  <c r="O10" i="18"/>
  <c r="K10" i="18"/>
  <c r="I10" i="18"/>
  <c r="G10" i="18"/>
  <c r="E10" i="18"/>
  <c r="C10" i="18"/>
  <c r="F7" i="18"/>
  <c r="D7" i="18"/>
  <c r="D102" i="18" s="1"/>
  <c r="P7" i="18"/>
  <c r="L32" i="18"/>
  <c r="J32" i="18"/>
  <c r="H32" i="18"/>
  <c r="F32" i="18"/>
  <c r="D32" i="18"/>
  <c r="L11" i="5"/>
  <c r="L12" i="5" s="1"/>
  <c r="L9" i="5"/>
  <c r="L8" i="5"/>
  <c r="L4" i="5"/>
  <c r="L3" i="5"/>
  <c r="C6" i="22" l="1"/>
  <c r="D6" i="22" s="1"/>
  <c r="C6" i="21"/>
  <c r="D6" i="21" s="1"/>
  <c r="C7" i="21"/>
  <c r="C7" i="22"/>
  <c r="E14" i="18"/>
  <c r="D36" i="18"/>
  <c r="D43" i="18" s="1"/>
  <c r="F13" i="18"/>
  <c r="F36" i="18"/>
  <c r="F43" i="18" s="1"/>
  <c r="L36" i="18"/>
  <c r="L43" i="18" s="1"/>
  <c r="J36" i="18"/>
  <c r="J43" i="18" s="1"/>
  <c r="H36" i="18"/>
  <c r="H43" i="18" s="1"/>
  <c r="G14" i="18"/>
  <c r="I14" i="18"/>
  <c r="O14" i="18"/>
  <c r="C14" i="18"/>
  <c r="J7" i="18"/>
  <c r="J12" i="18" s="1"/>
  <c r="L7" i="18"/>
  <c r="L53" i="18" s="1"/>
  <c r="D13" i="18"/>
  <c r="K14" i="18"/>
  <c r="P51" i="18"/>
  <c r="P52" i="18" s="1"/>
  <c r="P102" i="18"/>
  <c r="P12" i="18"/>
  <c r="P53" i="18"/>
  <c r="P49" i="18"/>
  <c r="P13" i="18"/>
  <c r="P32" i="18"/>
  <c r="P36" i="18" s="1"/>
  <c r="P43" i="18" s="1"/>
  <c r="H7" i="18"/>
  <c r="K59" i="18"/>
  <c r="D51" i="18"/>
  <c r="D52" i="18" s="1"/>
  <c r="D49" i="18"/>
  <c r="F51" i="18"/>
  <c r="F52" i="18" s="1"/>
  <c r="D12" i="18"/>
  <c r="F49" i="18"/>
  <c r="F12" i="18"/>
  <c r="F14" i="18" s="1"/>
  <c r="D53" i="18"/>
  <c r="F102" i="18"/>
  <c r="F53" i="18"/>
  <c r="D7" i="21" l="1"/>
  <c r="D8" i="21" s="1"/>
  <c r="D12" i="21" s="1"/>
  <c r="D7" i="22"/>
  <c r="D8" i="22" s="1"/>
  <c r="L13" i="18"/>
  <c r="L12" i="18"/>
  <c r="D14" i="18"/>
  <c r="D20" i="18" s="1"/>
  <c r="L102" i="18"/>
  <c r="J102" i="18"/>
  <c r="J51" i="18"/>
  <c r="J52" i="18" s="1"/>
  <c r="L49" i="18"/>
  <c r="L50" i="18" s="1"/>
  <c r="J53" i="18"/>
  <c r="J13" i="18"/>
  <c r="J14" i="18" s="1"/>
  <c r="J49" i="18"/>
  <c r="J50" i="18" s="1"/>
  <c r="L51" i="18"/>
  <c r="L52" i="18" s="1"/>
  <c r="P50" i="18"/>
  <c r="P54" i="18" s="1"/>
  <c r="P104" i="18" s="1"/>
  <c r="P14" i="18"/>
  <c r="F19" i="18"/>
  <c r="F25" i="18"/>
  <c r="F20" i="18"/>
  <c r="F21" i="18"/>
  <c r="F23" i="18"/>
  <c r="F26" i="18"/>
  <c r="F22" i="18"/>
  <c r="F41" i="18"/>
  <c r="F24" i="18"/>
  <c r="D50" i="18"/>
  <c r="D54" i="18" s="1"/>
  <c r="D104" i="18" s="1"/>
  <c r="F50" i="18"/>
  <c r="F54" i="18" s="1"/>
  <c r="F104" i="18" s="1"/>
  <c r="H102" i="18"/>
  <c r="H53" i="18"/>
  <c r="H49" i="18"/>
  <c r="H51" i="18"/>
  <c r="H52" i="18" s="1"/>
  <c r="H12" i="18"/>
  <c r="H13" i="18"/>
  <c r="N22" i="18" l="1"/>
  <c r="N23" i="18"/>
  <c r="N21" i="18"/>
  <c r="N25" i="18"/>
  <c r="N24" i="18"/>
  <c r="N20" i="18"/>
  <c r="N19" i="18"/>
  <c r="N26" i="18"/>
  <c r="D13" i="21"/>
  <c r="D11" i="21"/>
  <c r="D41" i="18"/>
  <c r="D23" i="18"/>
  <c r="D12" i="22"/>
  <c r="D11" i="22"/>
  <c r="D13" i="22"/>
  <c r="D25" i="18"/>
  <c r="D22" i="18"/>
  <c r="D19" i="18"/>
  <c r="D21" i="18"/>
  <c r="D24" i="18"/>
  <c r="D26" i="18"/>
  <c r="L14" i="18"/>
  <c r="L54" i="18"/>
  <c r="L104" i="18" s="1"/>
  <c r="J23" i="18"/>
  <c r="J26" i="18"/>
  <c r="J41" i="18"/>
  <c r="J24" i="18"/>
  <c r="J19" i="18"/>
  <c r="J22" i="18"/>
  <c r="J20" i="18"/>
  <c r="J21" i="18"/>
  <c r="J25" i="18"/>
  <c r="J54" i="18"/>
  <c r="J104" i="18" s="1"/>
  <c r="H14" i="18"/>
  <c r="H50" i="18"/>
  <c r="H54" i="18" s="1"/>
  <c r="H104" i="18" s="1"/>
  <c r="F27" i="18"/>
  <c r="F42" i="18" s="1"/>
  <c r="F63" i="18" s="1"/>
  <c r="P25" i="18"/>
  <c r="P23" i="18"/>
  <c r="P41" i="18"/>
  <c r="P26" i="18"/>
  <c r="P19" i="18"/>
  <c r="P21" i="18"/>
  <c r="P24" i="18"/>
  <c r="P22" i="18"/>
  <c r="P20" i="18"/>
  <c r="N61" i="18" l="1"/>
  <c r="N27" i="18"/>
  <c r="N42" i="18" s="1"/>
  <c r="N44" i="18" s="1"/>
  <c r="N103" i="18" s="1"/>
  <c r="D14" i="21"/>
  <c r="D16" i="21" s="1"/>
  <c r="C121" i="18" s="1"/>
  <c r="G121" i="18" s="1"/>
  <c r="K121" i="18" s="1"/>
  <c r="D27" i="18"/>
  <c r="D42" i="18" s="1"/>
  <c r="D60" i="18" s="1"/>
  <c r="D14" i="22"/>
  <c r="D16" i="22" s="1"/>
  <c r="C122" i="18" s="1"/>
  <c r="G122" i="18" s="1"/>
  <c r="K122" i="18" s="1"/>
  <c r="L23" i="18"/>
  <c r="L41" i="18"/>
  <c r="L26" i="18"/>
  <c r="L21" i="18"/>
  <c r="L24" i="18"/>
  <c r="L19" i="18"/>
  <c r="L22" i="18"/>
  <c r="L25" i="18"/>
  <c r="L20" i="18"/>
  <c r="J27" i="18"/>
  <c r="J42" i="18" s="1"/>
  <c r="J44" i="18" s="1"/>
  <c r="J103" i="18" s="1"/>
  <c r="F59" i="18"/>
  <c r="F62" i="18"/>
  <c r="F61" i="18"/>
  <c r="F64" i="18"/>
  <c r="F60" i="18"/>
  <c r="F44" i="18"/>
  <c r="F103" i="18" s="1"/>
  <c r="P27" i="18"/>
  <c r="P42" i="18" s="1"/>
  <c r="P59" i="18" s="1"/>
  <c r="H19" i="18"/>
  <c r="H22" i="18"/>
  <c r="H25" i="18"/>
  <c r="H20" i="18"/>
  <c r="H23" i="18"/>
  <c r="H41" i="18"/>
  <c r="H26" i="18"/>
  <c r="H21" i="18"/>
  <c r="H24" i="18"/>
  <c r="N59" i="18" l="1"/>
  <c r="N64" i="18"/>
  <c r="N63" i="18"/>
  <c r="N60" i="18"/>
  <c r="N62" i="18"/>
  <c r="J64" i="18"/>
  <c r="J59" i="18"/>
  <c r="J60" i="18"/>
  <c r="J63" i="18"/>
  <c r="D64" i="18"/>
  <c r="D63" i="18"/>
  <c r="D44" i="18"/>
  <c r="D103" i="18" s="1"/>
  <c r="D59" i="18"/>
  <c r="D61" i="18"/>
  <c r="D62" i="18"/>
  <c r="J62" i="18"/>
  <c r="L27" i="18"/>
  <c r="L42" i="18" s="1"/>
  <c r="J61" i="18"/>
  <c r="H27" i="18"/>
  <c r="H42" i="18" s="1"/>
  <c r="H44" i="18" s="1"/>
  <c r="H103" i="18" s="1"/>
  <c r="P60" i="18"/>
  <c r="P63" i="18"/>
  <c r="P62" i="18"/>
  <c r="F65" i="18"/>
  <c r="F76" i="18" s="1"/>
  <c r="F78" i="18" s="1"/>
  <c r="F105" i="18" s="1"/>
  <c r="P64" i="18"/>
  <c r="P61" i="18"/>
  <c r="P44" i="18"/>
  <c r="P103" i="18" s="1"/>
  <c r="N65" i="18" l="1"/>
  <c r="N76" i="18" s="1"/>
  <c r="N78" i="18" s="1"/>
  <c r="N105" i="18" s="1"/>
  <c r="N107" i="18" s="1"/>
  <c r="N92" i="18" s="1"/>
  <c r="N93" i="18" s="1"/>
  <c r="N109" i="18" s="1"/>
  <c r="C119" i="18" s="1"/>
  <c r="G119" i="18" s="1"/>
  <c r="J65" i="18"/>
  <c r="J76" i="18" s="1"/>
  <c r="J78" i="18" s="1"/>
  <c r="J105" i="18" s="1"/>
  <c r="J107" i="18" s="1"/>
  <c r="D65" i="18"/>
  <c r="D76" i="18" s="1"/>
  <c r="D78" i="18" s="1"/>
  <c r="D105" i="18" s="1"/>
  <c r="D107" i="18" s="1"/>
  <c r="D92" i="18" s="1"/>
  <c r="D93" i="18" s="1"/>
  <c r="L59" i="18"/>
  <c r="L62" i="18"/>
  <c r="L60" i="18"/>
  <c r="L61" i="18"/>
  <c r="L64" i="18"/>
  <c r="L63" i="18"/>
  <c r="L44" i="18"/>
  <c r="L103" i="18" s="1"/>
  <c r="H61" i="18"/>
  <c r="H62" i="18"/>
  <c r="H63" i="18"/>
  <c r="P65" i="18"/>
  <c r="P76" i="18" s="1"/>
  <c r="P78" i="18" s="1"/>
  <c r="P105" i="18" s="1"/>
  <c r="P107" i="18" s="1"/>
  <c r="H64" i="18"/>
  <c r="H59" i="18"/>
  <c r="H60" i="18"/>
  <c r="F107" i="18"/>
  <c r="N111" i="18" l="1"/>
  <c r="N110" i="18"/>
  <c r="N96" i="18"/>
  <c r="N95" i="18"/>
  <c r="N97" i="18"/>
  <c r="D109" i="18"/>
  <c r="C106" i="18" s="1"/>
  <c r="L65" i="18"/>
  <c r="L76" i="18" s="1"/>
  <c r="L78" i="18" s="1"/>
  <c r="L105" i="18" s="1"/>
  <c r="L107" i="18" s="1"/>
  <c r="L92" i="18" s="1"/>
  <c r="H65" i="18"/>
  <c r="H76" i="18" s="1"/>
  <c r="H78" i="18" s="1"/>
  <c r="H105" i="18" s="1"/>
  <c r="H107" i="18" s="1"/>
  <c r="H92" i="18" s="1"/>
  <c r="J92" i="18"/>
  <c r="J93" i="18" s="1"/>
  <c r="P92" i="18"/>
  <c r="F92" i="18"/>
  <c r="N94" i="18" l="1"/>
  <c r="N98" i="18" s="1"/>
  <c r="N108" i="18" s="1"/>
  <c r="C105" i="18"/>
  <c r="C102" i="18"/>
  <c r="C114" i="18"/>
  <c r="G114" i="18" s="1"/>
  <c r="K114" i="18" s="1"/>
  <c r="D96" i="18"/>
  <c r="D95" i="18"/>
  <c r="C103" i="18"/>
  <c r="D111" i="18"/>
  <c r="C104" i="18"/>
  <c r="D97" i="18"/>
  <c r="D110" i="18"/>
  <c r="L93" i="18"/>
  <c r="L109" i="18" s="1"/>
  <c r="L95" i="18" s="1"/>
  <c r="J109" i="18"/>
  <c r="P93" i="18"/>
  <c r="P109" i="18" s="1"/>
  <c r="F93" i="18"/>
  <c r="F109" i="18" s="1"/>
  <c r="H93" i="18"/>
  <c r="H109" i="18" s="1"/>
  <c r="H7" i="13"/>
  <c r="H8" i="13" s="1"/>
  <c r="H20" i="13"/>
  <c r="H19" i="13"/>
  <c r="B22" i="13"/>
  <c r="B10" i="13"/>
  <c r="P111" i="18" l="1"/>
  <c r="P110" i="18"/>
  <c r="C120" i="18"/>
  <c r="G120" i="18" s="1"/>
  <c r="K120" i="18" s="1"/>
  <c r="M106" i="18"/>
  <c r="M105" i="18"/>
  <c r="M102" i="18"/>
  <c r="M103" i="18"/>
  <c r="M104" i="18"/>
  <c r="M108" i="18"/>
  <c r="M109" i="18" s="1"/>
  <c r="D94" i="18"/>
  <c r="D98" i="18" s="1"/>
  <c r="D108" i="18" s="1"/>
  <c r="C108" i="18" s="1"/>
  <c r="C109" i="18" s="1"/>
  <c r="K104" i="18"/>
  <c r="L111" i="18"/>
  <c r="L97" i="18"/>
  <c r="K106" i="18"/>
  <c r="L110" i="18"/>
  <c r="K102" i="18"/>
  <c r="C118" i="18"/>
  <c r="G118" i="18" s="1"/>
  <c r="K118" i="18" s="1"/>
  <c r="K105" i="18"/>
  <c r="L96" i="18"/>
  <c r="K103" i="18"/>
  <c r="H97" i="18"/>
  <c r="C116" i="18"/>
  <c r="G116" i="18" s="1"/>
  <c r="K116" i="18" s="1"/>
  <c r="H111" i="18"/>
  <c r="H95" i="18"/>
  <c r="H96" i="18"/>
  <c r="H110" i="18"/>
  <c r="G106" i="18"/>
  <c r="G102" i="18"/>
  <c r="G104" i="18"/>
  <c r="G103" i="18"/>
  <c r="G105" i="18"/>
  <c r="F97" i="18"/>
  <c r="F111" i="18"/>
  <c r="C115" i="18"/>
  <c r="G115" i="18" s="1"/>
  <c r="K115" i="18" s="1"/>
  <c r="F95" i="18"/>
  <c r="F96" i="18"/>
  <c r="F110" i="18"/>
  <c r="E106" i="18"/>
  <c r="E102" i="18"/>
  <c r="E104" i="18"/>
  <c r="E103" i="18"/>
  <c r="E105" i="18"/>
  <c r="J97" i="18"/>
  <c r="J111" i="18"/>
  <c r="J95" i="18"/>
  <c r="J96" i="18"/>
  <c r="J110" i="18"/>
  <c r="C117" i="18"/>
  <c r="G117" i="18" s="1"/>
  <c r="K117" i="18" s="1"/>
  <c r="I106" i="18"/>
  <c r="I102" i="18"/>
  <c r="I104" i="18"/>
  <c r="I103" i="18"/>
  <c r="I105" i="18"/>
  <c r="P95" i="18"/>
  <c r="P96" i="18"/>
  <c r="P97" i="18"/>
  <c r="O106" i="18"/>
  <c r="O102" i="18"/>
  <c r="O104" i="18"/>
  <c r="O105" i="18"/>
  <c r="O103" i="18"/>
  <c r="B18" i="13"/>
  <c r="B17" i="13"/>
  <c r="B6" i="13"/>
  <c r="B5" i="13"/>
  <c r="K123" i="18" l="1"/>
  <c r="L94" i="18"/>
  <c r="L98" i="18" s="1"/>
  <c r="L108" i="18" s="1"/>
  <c r="K108" i="18" s="1"/>
  <c r="K109" i="18" s="1"/>
  <c r="F94" i="18"/>
  <c r="F98" i="18" s="1"/>
  <c r="F108" i="18" s="1"/>
  <c r="E108" i="18" s="1"/>
  <c r="E109" i="18" s="1"/>
  <c r="J94" i="18"/>
  <c r="J98" i="18" s="1"/>
  <c r="J108" i="18" s="1"/>
  <c r="I108" i="18" s="1"/>
  <c r="I109" i="18" s="1"/>
  <c r="P94" i="18"/>
  <c r="P98" i="18" s="1"/>
  <c r="P108" i="18" s="1"/>
  <c r="O108" i="18" s="1"/>
  <c r="O109" i="18" s="1"/>
  <c r="H94" i="18"/>
  <c r="H98" i="18" s="1"/>
  <c r="H108" i="18" s="1"/>
  <c r="G108" i="18" s="1"/>
  <c r="G109" i="18" s="1"/>
  <c r="H21" i="13"/>
  <c r="H9" i="13"/>
  <c r="L11" i="10"/>
  <c r="L12" i="10" s="1"/>
  <c r="L8" i="10"/>
  <c r="K125" i="18" l="1"/>
  <c r="K124" i="18"/>
  <c r="B7" i="13"/>
  <c r="B20" i="13"/>
  <c r="B19" i="13"/>
  <c r="H18" i="13" s="1"/>
  <c r="B8" i="13"/>
  <c r="B21" i="13" l="1"/>
  <c r="H6" i="13"/>
  <c r="B9" i="13"/>
  <c r="L9" i="10" l="1"/>
  <c r="L4" i="10"/>
  <c r="L3" i="10"/>
  <c r="L13" i="10" s="1"/>
  <c r="L6" i="10" l="1"/>
  <c r="L5" i="10"/>
  <c r="L10" i="10" l="1"/>
  <c r="L7" i="10"/>
  <c r="L13" i="5"/>
  <c r="L6" i="5" l="1"/>
  <c r="L5" i="5"/>
  <c r="L7" i="5" l="1"/>
  <c r="L10" i="5"/>
</calcChain>
</file>

<file path=xl/sharedStrings.xml><?xml version="1.0" encoding="utf-8"?>
<sst xmlns="http://schemas.openxmlformats.org/spreadsheetml/2006/main" count="631" uniqueCount="287">
  <si>
    <t>A</t>
  </si>
  <si>
    <t>B</t>
  </si>
  <si>
    <t>C</t>
  </si>
  <si>
    <t>D</t>
  </si>
  <si>
    <t>Módulo 1 - Composição da Remuneração</t>
  </si>
  <si>
    <t>Composição da Remuneração</t>
  </si>
  <si>
    <t>(R$)</t>
  </si>
  <si>
    <t>Salário Base</t>
  </si>
  <si>
    <t>Outros (especificar)</t>
  </si>
  <si>
    <t>Total:</t>
  </si>
  <si>
    <t>Submódulo 2.1 - Encargos e Benefícios Anuais, Mensais e Diários</t>
  </si>
  <si>
    <t>2.1</t>
  </si>
  <si>
    <t>13º salário e adicional de férias</t>
  </si>
  <si>
    <t>(%)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</si>
  <si>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</si>
  <si>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</si>
  <si>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</si>
  <si>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</si>
  <si>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</si>
  <si>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</si>
  <si>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</si>
  <si>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</si>
  <si>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</si>
  <si>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</si>
  <si>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</si>
  <si>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</si>
  <si>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</si>
  <si>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</si>
  <si>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</si>
  <si>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</si>
  <si>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</si>
  <si>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</si>
  <si>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</si>
  <si>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Valor do Bilhete</t>
  </si>
  <si>
    <t>Transporte</t>
  </si>
  <si>
    <t>Auxílio-Refeição/Alimentação</t>
  </si>
  <si>
    <t>Valor do Ticket</t>
  </si>
  <si>
    <t>Quadro Resumo do Módulo 2 - Encargos e Benefícios Anuais, Mensais e Diários</t>
  </si>
  <si>
    <t>13º (décimo terceiro) Salário, Férias e Adicional de Férias</t>
  </si>
  <si>
    <t>Módulo 3  - Provisão para Rescisão</t>
  </si>
  <si>
    <t>Provisão para Rescisão</t>
  </si>
  <si>
    <t>Aviso prévio indenizado</t>
  </si>
  <si>
    <t>Incidência do FGTS sobre Aviso prévio indenizado</t>
  </si>
  <si>
    <t>Aviso prévio trabalhado</t>
  </si>
  <si>
    <t>Incidência de GPS, FGTS sobre o Aviso Prévio Trabalhado</t>
  </si>
  <si>
    <t>Multa do FGTS sobre o Aviso Prévio Trabalhado e Indenizado</t>
  </si>
  <si>
    <t>4.1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</si>
  <si>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</si>
  <si>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</si>
  <si>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</si>
  <si>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</si>
  <si>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</si>
  <si>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</si>
  <si>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</si>
  <si>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</si>
  <si>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cobertura de Intervalo para repouso ou alimentação</t>
  </si>
  <si>
    <t>Quadro Resumo do Módulo 4 - 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</si>
  <si>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</si>
  <si>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</si>
  <si>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</si>
  <si>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</si>
  <si>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</si>
  <si>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</si>
  <si>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</si>
  <si>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</si>
  <si>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</si>
  <si>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</si>
  <si>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</si>
  <si>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</si>
  <si>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</si>
  <si>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</si>
  <si>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</si>
  <si>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</si>
  <si>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</si>
  <si>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Quadro Resumo do custo por empregado</t>
  </si>
  <si>
    <t>Valor por empregado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</si>
  <si>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</si>
  <si>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</si>
  <si>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</si>
  <si>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</si>
  <si>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</si>
  <si>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 A + B + C + D + E)</t>
  </si>
  <si>
    <t>Valor total por empregado</t>
  </si>
  <si>
    <t>QUADRO DEMONSTRATIVO DO VALOR GLOBAL DA PROPOSTA</t>
  </si>
  <si>
    <t>Tipo de Serviço
(A)</t>
  </si>
  <si>
    <t>Valor Proposto por Empregado 
(B)</t>
  </si>
  <si>
    <t>Qtde. de Empregados por Posto
(C)</t>
  </si>
  <si>
    <t>Valor Proposto por Posto 
(D) = (B x C)</t>
  </si>
  <si>
    <t>Qtde. de Postos 
(E)</t>
  </si>
  <si>
    <t>Valor Total do Serviço
(F) = (D x E)</t>
  </si>
  <si>
    <t>I</t>
  </si>
  <si>
    <t>II</t>
  </si>
  <si>
    <t>III</t>
  </si>
  <si>
    <t>IV</t>
  </si>
  <si>
    <t>V</t>
  </si>
  <si>
    <t>Valor Mensal dos Serviços</t>
  </si>
  <si>
    <t>VI</t>
  </si>
  <si>
    <t>Adicional de hora noturna (incluso hora noturna reduzida)</t>
  </si>
  <si>
    <t>Motorista Executivo</t>
  </si>
  <si>
    <t>Submódulo 4.1 - Custo de Reposição do Profissional Ausente</t>
  </si>
  <si>
    <t>Ausências Legais</t>
  </si>
  <si>
    <t>Custo de Reposição do Profissional Ausente</t>
  </si>
  <si>
    <t>CITL</t>
  </si>
  <si>
    <t>Contratante</t>
  </si>
  <si>
    <t>Nomenclatura do cargo</t>
  </si>
  <si>
    <t>Graduação exigida</t>
  </si>
  <si>
    <t>Tempo de experiência</t>
  </si>
  <si>
    <t>Salário base</t>
  </si>
  <si>
    <t>Pregão Eletrônico nº</t>
  </si>
  <si>
    <t>Número do Contrato</t>
  </si>
  <si>
    <t>UASG</t>
  </si>
  <si>
    <t>Ministério da Infraestrutura</t>
  </si>
  <si>
    <t>Assistente Administrativo</t>
  </si>
  <si>
    <t>Nível médio</t>
  </si>
  <si>
    <t>1 ano</t>
  </si>
  <si>
    <t>13/2018</t>
  </si>
  <si>
    <t>21/2018</t>
  </si>
  <si>
    <t>Tribunal de Contas da União</t>
  </si>
  <si>
    <t>Suporte Administrativo - Apoio I</t>
  </si>
  <si>
    <t>20/2022</t>
  </si>
  <si>
    <t>25/2022</t>
  </si>
  <si>
    <t>ENAP</t>
  </si>
  <si>
    <t>Auxiliar Administrativo Nível I</t>
  </si>
  <si>
    <t>6/2022</t>
  </si>
  <si>
    <t>18/2021</t>
  </si>
  <si>
    <t>-</t>
  </si>
  <si>
    <t>Câmara dos Deputados</t>
  </si>
  <si>
    <t>Técnico de Apoio - Nível 1</t>
  </si>
  <si>
    <t>6 meses</t>
  </si>
  <si>
    <t>130/2020</t>
  </si>
  <si>
    <t>189/2020</t>
  </si>
  <si>
    <t>Média</t>
  </si>
  <si>
    <t>Média - Desvio (limite inferior)</t>
  </si>
  <si>
    <t>Média + Desvio (limite superior)</t>
  </si>
  <si>
    <t>Média Final (excetuando-se os inexequíveis e excessivamente elevados)</t>
  </si>
  <si>
    <t>Quantidade de preços</t>
  </si>
  <si>
    <t>Quantidade de preços (excetuando-se os inexequíveis e excessivamente elevados)</t>
  </si>
  <si>
    <t>Presidência</t>
  </si>
  <si>
    <t>STM</t>
  </si>
  <si>
    <t>65/2022</t>
  </si>
  <si>
    <t>56/2022</t>
  </si>
  <si>
    <t>18/2022</t>
  </si>
  <si>
    <t>12/2022</t>
  </si>
  <si>
    <t>ANTT</t>
  </si>
  <si>
    <t>Nível fundamental</t>
  </si>
  <si>
    <t>13/2022</t>
  </si>
  <si>
    <t>23/2022</t>
  </si>
  <si>
    <t>MS</t>
  </si>
  <si>
    <t>2 anos</t>
  </si>
  <si>
    <t>14/2022</t>
  </si>
  <si>
    <t>86/2022</t>
  </si>
  <si>
    <t>CGU</t>
  </si>
  <si>
    <t>24/2022</t>
  </si>
  <si>
    <t>05/2022</t>
  </si>
  <si>
    <t>40/2022</t>
  </si>
  <si>
    <t>CFM</t>
  </si>
  <si>
    <t xml:space="preserve"> - De acordo com o Referencial Técnico de Custos do MPU, o percentual de frequência anual estimada de licenças por acidentes de trabalho é de aproximadamente 0,44%. Dessa forma o cálculo corresponde a: [(15 / 360) x 0,44%)], onde 15 = nº de dias da licença</t>
  </si>
  <si>
    <t xml:space="preserve"> - Valores obtidos conforme pesquisa de mercado para cargos com atividades e qualificações compatíveis.</t>
  </si>
  <si>
    <t xml:space="preserve"> - Conforme Lei nº 4.090/1962 e Art. 7º, inciso VIII da Constituição Federal de 1988. Percentual de provisão mensal: 1/12 = 8,33%</t>
  </si>
  <si>
    <t xml:space="preserve"> - Conforme Art. 7º, inciso XVII da Constituição Federal de 1988. Percentual de provisão mensal conforme Anexo XII da IN 05/17: (1/3)/11 = 3,03% ≅ 3,025%</t>
  </si>
  <si>
    <t xml:space="preserve"> - 20%, conforme art. 22, inciso I, da Lei 8.212/91.</t>
  </si>
  <si>
    <t xml:space="preserve"> - 2,50%, conforme art. 15, da Lei nº 9.424/96; do art. 2º do Decreto nº 3.142/99; e art. 212, § 5º da CF.</t>
  </si>
  <si>
    <t xml:space="preserve"> - O SAT a depender do grau de risco do serviço irá variar entre 1%, para risco leve, de 2%, para risco médio, e de 3% de risco grave. Além disso, o SAT pode ser multiplicado por um índice (FAP) que varia entre 0,5 e 2, fazendo com que este item da planilha possa varia entre 0,5 e 6,00%. Para fins de elaboração de preço de referência, usou-se o percentual intermediário de 3,00%. </t>
  </si>
  <si>
    <t xml:space="preserve"> - 1,50%, conforme art. 30 da Lei nº 8.036/90.</t>
  </si>
  <si>
    <t xml:space="preserve"> - 1,00%, conforme Decreto-Lei nº 2.318/86.</t>
  </si>
  <si>
    <t xml:space="preserve"> - 0,60%, conforme Lei nº 8.029/90.</t>
  </si>
  <si>
    <t xml:space="preserve"> - 0,20%, conf. art. 1º e 2º do Decreto-Lei nº 1.146/70.</t>
  </si>
  <si>
    <t xml:space="preserve"> - 8,00%. O tributo está previsto no art. 7º, Inciso III, da Constituição Federal, tendo sido regulamentado pela Lei nº 8.030/90, art. 15.</t>
  </si>
  <si>
    <t xml:space="preserve"> - Foi considerado o valor da passagem de R$ 5,50, definido no inciso III do Art. 3º do Decreto nº 40.381/2020 do Distrito Federal</t>
  </si>
  <si>
    <t xml:space="preserve"> - Conforme Cláusula décima quinta da CCT DF000037/2023, Cláusula décima quarta da CCT DF000035/2023 e Cláusula décima da CCT DF000220/2023.</t>
  </si>
  <si>
    <t xml:space="preserve"> - Percentual AVI = ((1 / 12) x 5,55%) = 0,46%. Onde: 5,55% = percentual de empregados demitidos que não trabalham durante o aviso prévio, conforme referência do Acórdão TCU nº 1.904/2007.</t>
  </si>
  <si>
    <t xml:space="preserve"> - Percentual AVT = [(7/30)/12] = 1,944%. Conforme Acórdão TCU 3006/2010–Plenário.</t>
  </si>
  <si>
    <t xml:space="preserve"> - Foi adotado o percentual de 4%, considerando o total constante da recomendação da SEGES, decorrente da extinção da cobrança da contribuição social de 10% (dez por cento) devida pelos empregadores em caso de despedida sem justa causa.</t>
  </si>
  <si>
    <t xml:space="preserve"> - Conforme Art. 7º, inciso XVII da Constituição Federal de 1988. Percentual de provisão mensal conforme Anexo XII da IN 05/17: 1/11 = 9,09% ≅ 9,075%</t>
  </si>
  <si>
    <t xml:space="preserve"> - Conforme metodologia adotada pela SEGES são 5,96 dias/ano. Cálculo: (5,96/30) x (1/12) = 0,0166 = 1,66%</t>
  </si>
  <si>
    <t xml:space="preserve"> - De acordo com o Anuário Estatístico da Codeplan (2019), a taxa de fecundidade no Distrito Federal é de aproximadamente 1,5%. Dessa forma a provisão para este item corresponde a :((5/30)/12) x 0,015 = 0,02%. </t>
  </si>
  <si>
    <t xml:space="preserve"> - O cálculo do afastamento maternidade é: 50%*(4/12)*1,5%*(8,33%+11,11%)=0,05%. Onde: 50%= percentual de mulheres nos postos; 4=nº de meses da licença e 1,5% é a taxa de fecundidade no DF, conforme Anuário Estatístico da CODEPLAN</t>
  </si>
  <si>
    <t>Desvio Padrão</t>
  </si>
  <si>
    <t>Unidade de medida</t>
  </si>
  <si>
    <t>Média – Desv. Padrão</t>
  </si>
  <si>
    <t>Média + Desv. Padrão</t>
  </si>
  <si>
    <t>Média Exequíveis</t>
  </si>
  <si>
    <t>Contagem de exequíveis:</t>
  </si>
  <si>
    <t>Coeficiente de Variação (excetuando-se os inexequíveis e excessivamente elevados)</t>
  </si>
  <si>
    <t>Coeficiente de Variação (excetuando-se os inexequíveis e excessivamente elevados) :</t>
  </si>
  <si>
    <t>Mediana Exequíveis</t>
  </si>
  <si>
    <t>Critério a ser adotado</t>
  </si>
  <si>
    <t>Critério a ser adotado:</t>
  </si>
  <si>
    <t>Mediana Final (excetuando-se os inexequíveis e excessivamente elevados)</t>
  </si>
  <si>
    <t xml:space="preserve"> - Os Tributos adotados na precificação refletem ao maior cenário, tendo por base o Lucro Real, cuja alíquota para o PIS é 1,65%</t>
  </si>
  <si>
    <t xml:space="preserve"> - Os Tributos adotados na precificação refletem ao maior cenário, tendo por base o Lucro Real, cuja alíquota para o COFINS é 7,60%</t>
  </si>
  <si>
    <t xml:space="preserve"> - Lei Complementar 116/2003. ISS = 5%</t>
  </si>
  <si>
    <t>Desvio padrão (todos os resultados)</t>
  </si>
  <si>
    <t>Média (todos os resultados)</t>
  </si>
  <si>
    <t>Desvio padrão (excetuando-se os inexequíveis e excessivamente elevados) :</t>
  </si>
  <si>
    <t>Desvio padrão (excetuando-se os inexequíveis e excessivamente elevados)</t>
  </si>
  <si>
    <t>Custos indiretos</t>
  </si>
  <si>
    <t>%</t>
  </si>
  <si>
    <t>De acordo com o item VI do Anexo I da IN SEGES/MPDG nº 5/2017, custos indiretos são os custos envolvidos na execução contratual decorrentes dos gastos da contratada com sua estrutura administrativa, organizacional e gerenciamento de seus contratos.</t>
  </si>
  <si>
    <t>De acordo com o item XI do Anexo I da IN SEGES/MPDG nº 5/2017, o lucro é o ganho decorrente da exploração da atividade econômica.</t>
  </si>
  <si>
    <t>STM (UASG 060001) PE 65/2022 - Recepcionista</t>
  </si>
  <si>
    <t>MINFRA (UASG 390004) PE 13/2018 - Assistente Administrativo</t>
  </si>
  <si>
    <t>TCU (UASG 030001) PE 20/2022 - Suporte Administrativo - Apoio I</t>
  </si>
  <si>
    <t>ENAP (UASG 114702) PE 18/2021 - Auxiliar Administrativo Nível I</t>
  </si>
  <si>
    <t>MDH (UASG 810005) PE 7/2019 - Apoio Administrativo</t>
  </si>
  <si>
    <t>SENADO (UASG 020001) PE 104/2021 - Apoio Administrativo II</t>
  </si>
  <si>
    <t>Câmara dos Deputados (UASG 010001) PE 130/2020 - Técnico de Apoio - Nível 1</t>
  </si>
  <si>
    <t>Câmara dos Deputados (UASG 010001) PE 130/2020 - Técnico de Apoio - Nível 2</t>
  </si>
  <si>
    <t>STM (UASG 060001) PE 65/2022 - Téc. Secretariado</t>
  </si>
  <si>
    <t>STM (UASG 060001) PE 65/2022 - Motorista Exec.</t>
  </si>
  <si>
    <t>EBSERH (UASG 155007) PE 18/2022 - Sec. Executiva</t>
  </si>
  <si>
    <t>EBSERH (UASG 155007) PE 18/2022 - Téc. Secretariado</t>
  </si>
  <si>
    <t>EBSERH (UASG 155007) PE 18/2022 - Recepcionista</t>
  </si>
  <si>
    <t>EBSERH (UASG 155007) PE 18/2022 - Carregador</t>
  </si>
  <si>
    <t>EBSERH (UASG 155007) PE 18/2022 - Almoxarife</t>
  </si>
  <si>
    <t>EBSERH (UASG 155007) PE 18/2022 - Encarregado</t>
  </si>
  <si>
    <t>EMBRATUR</t>
  </si>
  <si>
    <t>15/2022</t>
  </si>
  <si>
    <t>37/2022</t>
  </si>
  <si>
    <t>Férias e Adicional de Férias</t>
  </si>
  <si>
    <t xml:space="preserve"> - CLT (arts. 8º, §2º, 59-A, §1º e 73, §§ 1º ao 5º) OBS: no cálculo já está computado o adicional de 20% e a hora noturna reduzida. Previsão de 5 horas noturnas por mês.</t>
  </si>
  <si>
    <t>Valor Anual (12 meses)</t>
  </si>
  <si>
    <t>Valor Global da Proposta (30 meses)</t>
  </si>
  <si>
    <t>CNPQ</t>
  </si>
  <si>
    <t>Auxiliar Administrativo</t>
  </si>
  <si>
    <t>04/2021</t>
  </si>
  <si>
    <t>Auxiliar Administrativo Nível II</t>
  </si>
  <si>
    <t>17/2022</t>
  </si>
  <si>
    <t>Inmetro</t>
  </si>
  <si>
    <t>16/2022</t>
  </si>
  <si>
    <t>Assistente Administrativo (adicional de insalubridade)</t>
  </si>
  <si>
    <t>Assistente Administrativo (adicional de periculosidade)</t>
  </si>
  <si>
    <t xml:space="preserve"> - Salário mínimo de R$ 1.320,00, conforme MP nº 1.172/2023, e adicional de insalubridade de grau médio (20%), conforme manifestação do órgão participante.</t>
  </si>
  <si>
    <t xml:space="preserve"> - Salário Base * 30% (conforme Art. 193, § 1º, da CLT).</t>
  </si>
  <si>
    <t>Adicional de Insalubridade</t>
  </si>
  <si>
    <t>Adicional de Periculosidade</t>
  </si>
  <si>
    <t>PLANILHA ESTIMATIVA PARA O CUSTO DAS DIÁRIAS</t>
  </si>
  <si>
    <t>VALOR DA DIÁRIA</t>
  </si>
  <si>
    <t>Valor (R$)</t>
  </si>
  <si>
    <t>Diária ( Com Pernoite )</t>
  </si>
  <si>
    <t>Total</t>
  </si>
  <si>
    <t>Custos Indiretos e Lucro</t>
  </si>
  <si>
    <t>TOTAL – CUSTOS INDIRETOS E LUCRO</t>
  </si>
  <si>
    <t>TOTAL - TRIBUTOS</t>
  </si>
  <si>
    <t>VALOR TOTAL PARA 01 (UMA) DIÁRIA</t>
  </si>
  <si>
    <t>Diária ( Sem Pernoite )</t>
  </si>
  <si>
    <t>VII</t>
  </si>
  <si>
    <t>VIII</t>
  </si>
  <si>
    <t>Diária com pernoite (motorista)</t>
  </si>
  <si>
    <t>Diária sem pernoite (motorista)</t>
  </si>
  <si>
    <t>Descrição</t>
  </si>
  <si>
    <t>Quantidade</t>
  </si>
  <si>
    <t>Unidade</t>
  </si>
  <si>
    <t>Item</t>
  </si>
  <si>
    <t>Anexo II D - Portaria 449/2021</t>
  </si>
  <si>
    <t>Valor de Referência</t>
  </si>
  <si>
    <t>MÍDIA ESPECIALIZADA</t>
  </si>
  <si>
    <t>PAINEL DE PREÇO</t>
  </si>
  <si>
    <t>Cálculo dos Limites Superiores e Inferiores</t>
  </si>
  <si>
    <t>Valor unit.</t>
  </si>
  <si>
    <t>Desvio padrão</t>
  </si>
  <si>
    <t>Média de preços</t>
  </si>
  <si>
    <t>Limite Superior (média + desvio)</t>
  </si>
  <si>
    <t>Limite Inferior (média - desvio)</t>
  </si>
  <si>
    <t xml:space="preserve">Unidade </t>
  </si>
  <si>
    <t>Par</t>
  </si>
  <si>
    <t>Cinto na cor preta</t>
  </si>
  <si>
    <t>Terno preto com abotoamento de dois botões e duas fendas laterais para maior mobilidade e calça social sem pregas, bolso faca frontal e dois bolsos traseiros com botão</t>
  </si>
  <si>
    <t>Camisa social manga longa branca, slim, colarinho windsor</t>
  </si>
  <si>
    <t>Gravata modelo slim preta</t>
  </si>
  <si>
    <t>Par de meia social clássica preta lisa</t>
  </si>
  <si>
    <t>Cinto social preto com 125 cm de comprimento e 3,5 centímetros de largura</t>
  </si>
  <si>
    <t>Par de sapato social preto com cadarço</t>
  </si>
  <si>
    <t>Calça em tecido Rip Stop</t>
  </si>
  <si>
    <t>Camisa polo cinza</t>
  </si>
  <si>
    <t>Par de bota operacional cano curto preta</t>
  </si>
  <si>
    <t>Par de meia soquete cano longo</t>
  </si>
  <si>
    <t>UNIFORME MOTORISTA EXECUTIVO</t>
  </si>
  <si>
    <t>UNIFORME MOTORISTA DE VEÍCULO PESADO</t>
  </si>
  <si>
    <t>Valor Total Mensal</t>
  </si>
  <si>
    <t>Quantidade por motorista</t>
  </si>
  <si>
    <t>Frequência do Fornecimento</t>
  </si>
  <si>
    <t>Semestral</t>
  </si>
  <si>
    <t>Motorista Pesado (adicional de insalubridade)</t>
  </si>
  <si>
    <t>Motorista Pesado (adicional de periculosidade)</t>
  </si>
  <si>
    <t>Motorista Executivo (adicional de periculosidade)</t>
  </si>
  <si>
    <t>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</si>
</sst>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[$R$-416]\ #,##0.00;[Red]\-[$R$-416]\ #,##0.00"/>
    <numFmt numFmtId="165" formatCode="_-&quot;R$&quot;* #,##0.00_-;&quot;-R$&quot;* #,##0.00_-;_-&quot;R$&quot;* \-??_-;_-@_-"/>
    <numFmt numFmtId="166" formatCode="0.0%"/>
    <numFmt numFmtId="167" formatCode="0.00000"/>
    <numFmt numFmtId="168" formatCode="&quot;R$&quot;\ #,##0.00"/>
  </numFmts>
  <fonts count="13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EDEDED"/>
        <bgColor rgb="FFD9D9D9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4" fillId="0" borderId="0" applyBorder="0" applyProtection="0"/>
    <xf numFmtId="9" fontId="4" fillId="0" borderId="0" applyBorder="0" applyProtection="0"/>
    <xf numFmtId="0" fontId="4" fillId="2" borderId="0" applyBorder="0" applyProtection="0"/>
  </cellStyleXfs>
  <cellXfs count="167">
    <xf numFmtId="0" fontId="0" fillId="0" borderId="0" xfId="0"/>
    <xf numFmtId="0" fontId="3" fillId="2" borderId="1" xfId="3" applyFont="1" applyBorder="1" applyAlignment="1" applyProtection="1">
      <alignment horizontal="center" vertical="center" wrapText="1"/>
    </xf>
    <xf numFmtId="9" fontId="0" fillId="0" borderId="1" xfId="2" applyFont="1" applyBorder="1" applyProtection="1"/>
    <xf numFmtId="165" fontId="0" fillId="0" borderId="1" xfId="1" applyFont="1" applyBorder="1" applyProtection="1"/>
    <xf numFmtId="165" fontId="3" fillId="0" borderId="1" xfId="1" applyFont="1" applyBorder="1" applyProtection="1"/>
    <xf numFmtId="10" fontId="0" fillId="0" borderId="1" xfId="2" applyNumberFormat="1" applyFont="1" applyBorder="1" applyAlignment="1" applyProtection="1">
      <alignment horizontal="center"/>
    </xf>
    <xf numFmtId="166" fontId="0" fillId="0" borderId="1" xfId="2" applyNumberFormat="1" applyFont="1" applyBorder="1" applyAlignment="1" applyProtection="1">
      <alignment horizontal="center"/>
    </xf>
    <xf numFmtId="9" fontId="0" fillId="0" borderId="1" xfId="2" applyFont="1" applyBorder="1" applyAlignment="1" applyProtection="1">
      <alignment horizontal="center"/>
    </xf>
    <xf numFmtId="164" fontId="3" fillId="0" borderId="1" xfId="1" applyNumberFormat="1" applyFont="1" applyBorder="1" applyProtection="1"/>
    <xf numFmtId="0" fontId="0" fillId="0" borderId="1" xfId="0" applyBorder="1" applyAlignment="1">
      <alignment wrapText="1"/>
    </xf>
    <xf numFmtId="166" fontId="0" fillId="0" borderId="1" xfId="2" applyNumberFormat="1" applyFont="1" applyBorder="1" applyAlignment="1" applyProtection="1">
      <alignment horizontal="center" wrapText="1"/>
    </xf>
    <xf numFmtId="165" fontId="3" fillId="0" borderId="0" xfId="1" applyFont="1" applyBorder="1" applyProtection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165" fontId="4" fillId="0" borderId="0" xfId="1"/>
    <xf numFmtId="165" fontId="4" fillId="0" borderId="1" xfId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quotePrefix="1" applyBorder="1" applyAlignment="1">
      <alignment horizontal="center" wrapText="1"/>
    </xf>
    <xf numFmtId="17" fontId="0" fillId="0" borderId="1" xfId="0" quotePrefix="1" applyNumberFormat="1" applyBorder="1" applyAlignment="1">
      <alignment horizontal="center" wrapText="1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2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9" fontId="4" fillId="0" borderId="1" xfId="2" applyBorder="1" applyAlignment="1" applyProtection="1">
      <alignment horizontal="center"/>
    </xf>
    <xf numFmtId="165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6" fontId="0" fillId="0" borderId="1" xfId="0" applyNumberFormat="1" applyBorder="1" applyAlignment="1">
      <alignment horizontal="center"/>
    </xf>
    <xf numFmtId="9" fontId="4" fillId="0" borderId="0" xfId="2" applyProtection="1"/>
    <xf numFmtId="0" fontId="2" fillId="0" borderId="1" xfId="0" applyFont="1" applyBorder="1" applyAlignment="1">
      <alignment wrapText="1"/>
    </xf>
    <xf numFmtId="9" fontId="4" fillId="0" borderId="0" xfId="2" applyAlignment="1">
      <alignment horizontal="center"/>
    </xf>
    <xf numFmtId="9" fontId="4" fillId="0" borderId="1" xfId="2" applyBorder="1" applyAlignment="1">
      <alignment horizontal="center"/>
    </xf>
    <xf numFmtId="165" fontId="4" fillId="0" borderId="1" xfId="1" applyBorder="1" applyAlignment="1">
      <alignment horizontal="center"/>
    </xf>
    <xf numFmtId="165" fontId="5" fillId="0" borderId="1" xfId="1" applyFont="1" applyBorder="1" applyAlignment="1">
      <alignment horizontal="center"/>
    </xf>
    <xf numFmtId="0" fontId="4" fillId="0" borderId="1" xfId="1" applyNumberFormat="1" applyBorder="1" applyAlignment="1">
      <alignment horizontal="center"/>
    </xf>
    <xf numFmtId="2" fontId="4" fillId="0" borderId="1" xfId="1" applyNumberFormat="1" applyBorder="1" applyAlignment="1">
      <alignment horizontal="center"/>
    </xf>
    <xf numFmtId="10" fontId="4" fillId="0" borderId="0" xfId="2" applyNumberFormat="1" applyAlignment="1">
      <alignment horizontal="center" vertical="center"/>
    </xf>
    <xf numFmtId="167" fontId="4" fillId="0" borderId="1" xfId="2" applyNumberFormat="1" applyBorder="1" applyAlignment="1">
      <alignment horizontal="center" vertical="center"/>
    </xf>
    <xf numFmtId="167" fontId="0" fillId="0" borderId="0" xfId="0" applyNumberFormat="1" applyAlignment="1">
      <alignment horizontal="center" wrapText="1"/>
    </xf>
    <xf numFmtId="167" fontId="4" fillId="0" borderId="0" xfId="2" applyNumberFormat="1" applyAlignment="1">
      <alignment horizontal="center"/>
    </xf>
    <xf numFmtId="44" fontId="0" fillId="0" borderId="0" xfId="0" applyNumberFormat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vertical="center" wrapText="1"/>
    </xf>
    <xf numFmtId="165" fontId="4" fillId="0" borderId="4" xfId="1" applyBorder="1" applyAlignment="1">
      <alignment wrapText="1"/>
    </xf>
    <xf numFmtId="0" fontId="0" fillId="0" borderId="4" xfId="0" quotePrefix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7" fillId="0" borderId="1" xfId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0" fontId="8" fillId="5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165" fontId="8" fillId="0" borderId="1" xfId="1" applyFont="1" applyBorder="1" applyAlignment="1">
      <alignment horizontal="center" vertical="center" wrapText="1"/>
    </xf>
    <xf numFmtId="44" fontId="7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 applyProtection="1">
      <alignment vertical="center" wrapText="1"/>
      <protection hidden="1"/>
    </xf>
    <xf numFmtId="10" fontId="7" fillId="4" borderId="1" xfId="0" applyNumberFormat="1" applyFont="1" applyFill="1" applyBorder="1" applyAlignment="1">
      <alignment horizontal="center" vertical="center" wrapText="1"/>
    </xf>
    <xf numFmtId="44" fontId="7" fillId="7" borderId="1" xfId="0" applyNumberFormat="1" applyFont="1" applyFill="1" applyBorder="1" applyAlignment="1">
      <alignment horizontal="center" vertical="center" wrapText="1"/>
    </xf>
    <xf numFmtId="165" fontId="8" fillId="5" borderId="1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12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 wrapText="1"/>
    </xf>
    <xf numFmtId="0" fontId="11" fillId="12" borderId="1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8" fontId="12" fillId="10" borderId="1" xfId="0" applyNumberFormat="1" applyFont="1" applyFill="1" applyBorder="1" applyAlignment="1">
      <alignment horizontal="center" vertical="center"/>
    </xf>
    <xf numFmtId="8" fontId="12" fillId="11" borderId="1" xfId="0" applyNumberFormat="1" applyFont="1" applyFill="1" applyBorder="1" applyAlignment="1">
      <alignment horizontal="center" vertical="center"/>
    </xf>
    <xf numFmtId="8" fontId="12" fillId="10" borderId="1" xfId="0" quotePrefix="1" applyNumberFormat="1" applyFont="1" applyFill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8" fontId="12" fillId="0" borderId="1" xfId="0" applyNumberFormat="1" applyFont="1" applyBorder="1" applyAlignment="1">
      <alignment horizontal="center" vertical="center"/>
    </xf>
    <xf numFmtId="168" fontId="12" fillId="0" borderId="1" xfId="0" applyNumberFormat="1" applyFont="1" applyBorder="1" applyAlignment="1">
      <alignment horizontal="center" vertical="center"/>
    </xf>
    <xf numFmtId="168" fontId="12" fillId="0" borderId="18" xfId="0" applyNumberFormat="1" applyFont="1" applyBorder="1" applyAlignment="1">
      <alignment horizontal="center" vertical="center"/>
    </xf>
    <xf numFmtId="8" fontId="1" fillId="9" borderId="19" xfId="0" applyNumberFormat="1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8" fontId="12" fillId="10" borderId="20" xfId="0" applyNumberFormat="1" applyFont="1" applyFill="1" applyBorder="1" applyAlignment="1">
      <alignment horizontal="center" vertical="center"/>
    </xf>
    <xf numFmtId="8" fontId="12" fillId="11" borderId="20" xfId="0" applyNumberFormat="1" applyFont="1" applyFill="1" applyBorder="1" applyAlignment="1">
      <alignment horizontal="center" vertical="center"/>
    </xf>
    <xf numFmtId="168" fontId="12" fillId="0" borderId="20" xfId="0" applyNumberFormat="1" applyFont="1" applyBorder="1" applyAlignment="1">
      <alignment horizontal="center" vertical="center"/>
    </xf>
    <xf numFmtId="168" fontId="12" fillId="0" borderId="21" xfId="0" applyNumberFormat="1" applyFont="1" applyBorder="1" applyAlignment="1">
      <alignment horizontal="center" vertical="center"/>
    </xf>
    <xf numFmtId="8" fontId="12" fillId="12" borderId="1" xfId="0" applyNumberFormat="1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vertical="center" wrapText="1"/>
    </xf>
    <xf numFmtId="0" fontId="11" fillId="8" borderId="14" xfId="0" applyFont="1" applyFill="1" applyBorder="1" applyAlignment="1">
      <alignment vertical="center" wrapText="1"/>
    </xf>
    <xf numFmtId="0" fontId="11" fillId="8" borderId="5" xfId="0" applyFont="1" applyFill="1" applyBorder="1" applyAlignment="1">
      <alignment vertical="center" wrapText="1"/>
    </xf>
    <xf numFmtId="0" fontId="11" fillId="8" borderId="17" xfId="0" applyFont="1" applyFill="1" applyBorder="1" applyAlignment="1">
      <alignment vertical="center" wrapText="1"/>
    </xf>
    <xf numFmtId="0" fontId="1" fillId="9" borderId="19" xfId="0" applyFont="1" applyFill="1" applyBorder="1" applyAlignment="1">
      <alignment horizontal="center" vertical="center"/>
    </xf>
    <xf numFmtId="8" fontId="1" fillId="9" borderId="28" xfId="0" applyNumberFormat="1" applyFont="1" applyFill="1" applyBorder="1" applyAlignment="1">
      <alignment horizontal="center" vertical="center"/>
    </xf>
    <xf numFmtId="8" fontId="1" fillId="13" borderId="22" xfId="0" applyNumberFormat="1" applyFont="1" applyFill="1" applyBorder="1" applyAlignment="1">
      <alignment horizontal="center" vertical="center"/>
    </xf>
    <xf numFmtId="8" fontId="0" fillId="0" borderId="1" xfId="0" applyNumberFormat="1" applyBorder="1" applyAlignment="1">
      <alignment horizontal="center"/>
    </xf>
    <xf numFmtId="9" fontId="4" fillId="0" borderId="0" xfId="2"/>
    <xf numFmtId="0" fontId="11" fillId="7" borderId="8" xfId="0" applyFont="1" applyFill="1" applyBorder="1" applyAlignment="1">
      <alignment horizontal="center"/>
    </xf>
    <xf numFmtId="0" fontId="11" fillId="7" borderId="9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26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8" borderId="27" xfId="0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 wrapText="1"/>
    </xf>
    <xf numFmtId="0" fontId="10" fillId="9" borderId="24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11" fillId="12" borderId="2" xfId="0" applyFont="1" applyFill="1" applyBorder="1" applyAlignment="1">
      <alignment horizontal="center" vertical="center" wrapText="1"/>
    </xf>
    <xf numFmtId="0" fontId="11" fillId="12" borderId="6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1" fillId="12" borderId="18" xfId="0" applyFont="1" applyFill="1" applyBorder="1" applyAlignment="1">
      <alignment horizontal="center" vertical="center"/>
    </xf>
    <xf numFmtId="0" fontId="3" fillId="2" borderId="1" xfId="3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right"/>
    </xf>
    <xf numFmtId="0" fontId="3" fillId="2" borderId="1" xfId="3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Porcentagem" xfId="2" builtinId="5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EDEDED"/>
      <rgbColor rgb="FFED1C24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685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3816E-DC04-4C2A-A196-E55FFF834E23}">
  <dimension ref="B3:L14"/>
  <sheetViews>
    <sheetView showGridLines="0" topLeftCell="E1" workbookViewId="0">
      <selection activeCell="E4" sqref="E4"/>
    </sheetView>
  </sheetViews>
  <sheetFormatPr defaultColWidth="9.1796875" defaultRowHeight="14.5"/>
  <cols>
    <col min="1" max="1" width="9.1796875" style="12"/>
    <col min="2" max="3" width="20.7265625" style="12" customWidth="1"/>
    <col min="4" max="4" width="25.7265625" style="12" customWidth="1"/>
    <col min="5" max="6" width="20.7265625" style="12" customWidth="1"/>
    <col min="7" max="7" width="20.7265625" style="18" customWidth="1"/>
    <col min="8" max="9" width="20.7265625" style="12" customWidth="1"/>
    <col min="10" max="10" width="9" style="12" customWidth="1"/>
    <col min="11" max="11" width="38.7265625" style="12" customWidth="1"/>
    <col min="12" max="12" width="13.1796875" style="12" customWidth="1"/>
    <col min="13" max="16384" width="9.1796875" style="12"/>
  </cols>
  <sheetData>
    <row r="3" spans="2:12" ht="45" customHeight="1">
      <c r="B3" s="1" t="s">
        <v>103</v>
      </c>
      <c r="C3" s="1" t="s">
        <v>110</v>
      </c>
      <c r="D3" s="1" t="s">
        <v>104</v>
      </c>
      <c r="E3" s="1" t="s">
        <v>105</v>
      </c>
      <c r="F3" s="1" t="s">
        <v>106</v>
      </c>
      <c r="G3" s="1" t="s">
        <v>107</v>
      </c>
      <c r="H3" s="1" t="s">
        <v>108</v>
      </c>
      <c r="I3" s="1" t="s">
        <v>109</v>
      </c>
      <c r="K3" s="9" t="s">
        <v>192</v>
      </c>
      <c r="L3" s="38">
        <f>_xlfn.STDEV.S(G4:G9)</f>
        <v>439.46028742841406</v>
      </c>
    </row>
    <row r="4" spans="2:12" ht="45" customHeight="1">
      <c r="B4" s="9" t="s">
        <v>111</v>
      </c>
      <c r="C4" s="16">
        <v>390004</v>
      </c>
      <c r="D4" s="9" t="s">
        <v>112</v>
      </c>
      <c r="E4" s="9" t="s">
        <v>113</v>
      </c>
      <c r="F4" s="16" t="s">
        <v>114</v>
      </c>
      <c r="G4" s="19">
        <v>2621.56</v>
      </c>
      <c r="H4" s="21" t="s">
        <v>115</v>
      </c>
      <c r="I4" s="21" t="s">
        <v>116</v>
      </c>
      <c r="K4" s="9" t="s">
        <v>193</v>
      </c>
      <c r="L4" s="38">
        <f>AVERAGE(G4:G9)</f>
        <v>3007.9233333333336</v>
      </c>
    </row>
    <row r="5" spans="2:12" ht="45" customHeight="1">
      <c r="B5" s="9" t="s">
        <v>117</v>
      </c>
      <c r="C5" s="16">
        <v>30001</v>
      </c>
      <c r="D5" s="9" t="s">
        <v>118</v>
      </c>
      <c r="E5" s="9" t="s">
        <v>113</v>
      </c>
      <c r="F5" s="16" t="s">
        <v>114</v>
      </c>
      <c r="G5" s="19">
        <v>3724.41</v>
      </c>
      <c r="H5" s="21" t="s">
        <v>119</v>
      </c>
      <c r="I5" s="21" t="s">
        <v>120</v>
      </c>
      <c r="K5" s="9" t="s">
        <v>132</v>
      </c>
      <c r="L5" s="38">
        <f>L4-L3</f>
        <v>2568.4630459049195</v>
      </c>
    </row>
    <row r="6" spans="2:12" ht="45" customHeight="1">
      <c r="B6" s="9" t="s">
        <v>121</v>
      </c>
      <c r="C6" s="16">
        <v>114702</v>
      </c>
      <c r="D6" s="9" t="s">
        <v>122</v>
      </c>
      <c r="E6" s="9" t="s">
        <v>113</v>
      </c>
      <c r="F6" s="16" t="s">
        <v>125</v>
      </c>
      <c r="G6" s="19">
        <v>2930.96</v>
      </c>
      <c r="H6" s="21" t="s">
        <v>124</v>
      </c>
      <c r="I6" s="21" t="s">
        <v>123</v>
      </c>
      <c r="K6" s="9" t="s">
        <v>133</v>
      </c>
      <c r="L6" s="38">
        <f>L4+L3</f>
        <v>3447.3836207617478</v>
      </c>
    </row>
    <row r="7" spans="2:12" ht="45" customHeight="1">
      <c r="B7" s="9" t="s">
        <v>228</v>
      </c>
      <c r="C7" s="15">
        <v>183023</v>
      </c>
      <c r="D7" s="9" t="s">
        <v>224</v>
      </c>
      <c r="E7" s="9" t="s">
        <v>113</v>
      </c>
      <c r="F7" s="16" t="s">
        <v>114</v>
      </c>
      <c r="G7" s="19">
        <v>2570.41</v>
      </c>
      <c r="H7" s="22" t="s">
        <v>225</v>
      </c>
      <c r="I7" s="21" t="s">
        <v>229</v>
      </c>
      <c r="K7" s="20" t="s">
        <v>134</v>
      </c>
      <c r="L7" s="39">
        <f>AVERAGEIFS(G4:G9,G4:G9,"&gt;="&amp;L5,G4:G9,"&lt;="&amp;L6)</f>
        <v>2864.6259999999997</v>
      </c>
    </row>
    <row r="8" spans="2:12" ht="45" customHeight="1">
      <c r="B8" s="9" t="s">
        <v>223</v>
      </c>
      <c r="C8" s="16">
        <v>364102</v>
      </c>
      <c r="D8" s="9" t="s">
        <v>226</v>
      </c>
      <c r="E8" s="9" t="s">
        <v>113</v>
      </c>
      <c r="F8" s="16" t="s">
        <v>114</v>
      </c>
      <c r="G8" s="19">
        <v>2889.55</v>
      </c>
      <c r="H8" s="21" t="s">
        <v>145</v>
      </c>
      <c r="I8" s="21" t="s">
        <v>227</v>
      </c>
      <c r="K8" s="20" t="s">
        <v>188</v>
      </c>
      <c r="L8" s="39">
        <f>MEDIAN(G4,G6,G7,G8,G9)</f>
        <v>2889.55</v>
      </c>
    </row>
    <row r="9" spans="2:12" ht="45" customHeight="1">
      <c r="B9" s="9" t="s">
        <v>126</v>
      </c>
      <c r="C9" s="16">
        <v>10001</v>
      </c>
      <c r="D9" s="9" t="s">
        <v>127</v>
      </c>
      <c r="E9" s="9" t="s">
        <v>113</v>
      </c>
      <c r="F9" s="16" t="s">
        <v>128</v>
      </c>
      <c r="G9" s="19">
        <v>3310.65</v>
      </c>
      <c r="H9" s="21" t="s">
        <v>129</v>
      </c>
      <c r="I9" s="21" t="s">
        <v>130</v>
      </c>
      <c r="K9" s="9" t="s">
        <v>135</v>
      </c>
      <c r="L9" s="40">
        <f>COUNTA(G4:G9)</f>
        <v>6</v>
      </c>
    </row>
    <row r="10" spans="2:12" ht="45" customHeight="1">
      <c r="B10" s="47"/>
      <c r="C10" s="48"/>
      <c r="D10" s="49"/>
      <c r="E10" s="47"/>
      <c r="F10" s="48"/>
      <c r="G10" s="50"/>
      <c r="H10" s="51"/>
      <c r="I10" s="51"/>
      <c r="K10" s="9" t="s">
        <v>136</v>
      </c>
      <c r="L10" s="40">
        <f>COUNTIFS(G4:G9,"&gt;="&amp;L5,G4:G9,"&lt;="&amp;L6)</f>
        <v>5</v>
      </c>
    </row>
    <row r="11" spans="2:12" ht="45" customHeight="1">
      <c r="K11" s="9" t="s">
        <v>195</v>
      </c>
      <c r="L11" s="41">
        <f>_xlfn.STDEV.S(G4,G6,G7,G8,G9)</f>
        <v>295.63615683809729</v>
      </c>
    </row>
    <row r="12" spans="2:12" ht="45" customHeight="1">
      <c r="K12" s="9" t="s">
        <v>183</v>
      </c>
      <c r="L12" s="37">
        <f>L11/(AVERAGE(G4,G6,G7,G8,G9))</f>
        <v>0.10320235759854771</v>
      </c>
    </row>
    <row r="13" spans="2:12" ht="45" customHeight="1">
      <c r="K13" s="9" t="s">
        <v>186</v>
      </c>
      <c r="L13" s="37" t="str">
        <f>IF(L12&gt;=25%,"Mediana","Média")</f>
        <v>Média</v>
      </c>
    </row>
    <row r="14" spans="2:12" ht="45" customHeight="1"/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6BAA-2152-4C11-B484-13928A4717B0}">
  <dimension ref="B3:L14"/>
  <sheetViews>
    <sheetView showGridLines="0" workbookViewId="0">
      <selection activeCell="L7" sqref="L7"/>
    </sheetView>
  </sheetViews>
  <sheetFormatPr defaultColWidth="9.1796875" defaultRowHeight="14.5"/>
  <cols>
    <col min="1" max="1" width="9.1796875" style="12"/>
    <col min="2" max="3" width="20.7265625" style="12" customWidth="1"/>
    <col min="4" max="4" width="25.7265625" style="12" customWidth="1"/>
    <col min="5" max="6" width="20.7265625" style="12" customWidth="1"/>
    <col min="7" max="7" width="20.7265625" style="18" customWidth="1"/>
    <col min="8" max="9" width="20.7265625" style="12" customWidth="1"/>
    <col min="10" max="10" width="9" style="12" customWidth="1"/>
    <col min="11" max="11" width="38.7265625" style="12" customWidth="1"/>
    <col min="12" max="12" width="13.1796875" style="12" customWidth="1"/>
    <col min="13" max="16384" width="9.1796875" style="12"/>
  </cols>
  <sheetData>
    <row r="3" spans="2:12" ht="45" customHeight="1">
      <c r="B3" s="1" t="s">
        <v>103</v>
      </c>
      <c r="C3" s="1" t="s">
        <v>110</v>
      </c>
      <c r="D3" s="1" t="s">
        <v>104</v>
      </c>
      <c r="E3" s="1" t="s">
        <v>105</v>
      </c>
      <c r="F3" s="1" t="s">
        <v>106</v>
      </c>
      <c r="G3" s="1" t="s">
        <v>107</v>
      </c>
      <c r="H3" s="1" t="s">
        <v>108</v>
      </c>
      <c r="I3" s="1" t="s">
        <v>109</v>
      </c>
      <c r="K3" s="9" t="s">
        <v>192</v>
      </c>
      <c r="L3" s="38">
        <f>_xlfn.STDEV.S(G4:G10)</f>
        <v>4.91183277397178E-13</v>
      </c>
    </row>
    <row r="4" spans="2:12" ht="45" customHeight="1">
      <c r="B4" s="9" t="s">
        <v>138</v>
      </c>
      <c r="C4" s="16">
        <v>60001</v>
      </c>
      <c r="D4" s="9" t="s">
        <v>98</v>
      </c>
      <c r="E4" s="9" t="s">
        <v>113</v>
      </c>
      <c r="F4" s="16" t="s">
        <v>128</v>
      </c>
      <c r="G4" s="19">
        <v>3143.76</v>
      </c>
      <c r="H4" s="21" t="s">
        <v>139</v>
      </c>
      <c r="I4" s="21" t="s">
        <v>140</v>
      </c>
      <c r="K4" s="9" t="s">
        <v>193</v>
      </c>
      <c r="L4" s="38">
        <f>AVERAGE(G4:G10)</f>
        <v>3143.7599999999998</v>
      </c>
    </row>
    <row r="5" spans="2:12" ht="45" customHeight="1">
      <c r="B5" s="9" t="s">
        <v>143</v>
      </c>
      <c r="C5" s="16">
        <v>393001</v>
      </c>
      <c r="D5" s="9" t="s">
        <v>98</v>
      </c>
      <c r="E5" s="9" t="s">
        <v>144</v>
      </c>
      <c r="F5" s="16" t="s">
        <v>128</v>
      </c>
      <c r="G5" s="19">
        <v>3143.76</v>
      </c>
      <c r="H5" s="21" t="s">
        <v>145</v>
      </c>
      <c r="I5" s="21" t="s">
        <v>146</v>
      </c>
      <c r="K5" s="9" t="s">
        <v>132</v>
      </c>
      <c r="L5" s="38">
        <f>L4-L3</f>
        <v>3143.7599999999993</v>
      </c>
    </row>
    <row r="6" spans="2:12" ht="45" customHeight="1">
      <c r="B6" s="9" t="s">
        <v>147</v>
      </c>
      <c r="C6" s="16">
        <v>250110</v>
      </c>
      <c r="D6" s="9" t="s">
        <v>98</v>
      </c>
      <c r="E6" s="9" t="s">
        <v>144</v>
      </c>
      <c r="F6" s="16" t="s">
        <v>148</v>
      </c>
      <c r="G6" s="19">
        <v>3143.76</v>
      </c>
      <c r="H6" s="21" t="s">
        <v>149</v>
      </c>
      <c r="I6" s="21" t="s">
        <v>150</v>
      </c>
      <c r="K6" s="9" t="s">
        <v>133</v>
      </c>
      <c r="L6" s="38">
        <f>L4+L3</f>
        <v>3143.76</v>
      </c>
    </row>
    <row r="7" spans="2:12" ht="45" customHeight="1">
      <c r="B7" s="9" t="s">
        <v>151</v>
      </c>
      <c r="C7" s="16">
        <v>370003</v>
      </c>
      <c r="D7" s="9" t="s">
        <v>98</v>
      </c>
      <c r="E7" s="9" t="s">
        <v>113</v>
      </c>
      <c r="F7" s="16" t="s">
        <v>148</v>
      </c>
      <c r="G7" s="19">
        <v>3143.76</v>
      </c>
      <c r="H7" s="21" t="s">
        <v>142</v>
      </c>
      <c r="I7" s="21" t="s">
        <v>152</v>
      </c>
      <c r="K7" s="20" t="s">
        <v>134</v>
      </c>
      <c r="L7" s="39">
        <f>AVERAGEIFS(G4:G10,G4:G10,"&gt;="&amp;L5,G4:G10,"&lt;="&amp;L6)</f>
        <v>3143.7599999999998</v>
      </c>
    </row>
    <row r="8" spans="2:12" ht="45" customHeight="1">
      <c r="B8" s="9" t="s">
        <v>137</v>
      </c>
      <c r="C8" s="16">
        <v>110001</v>
      </c>
      <c r="D8" s="9" t="s">
        <v>98</v>
      </c>
      <c r="E8" s="9" t="s">
        <v>113</v>
      </c>
      <c r="F8" s="16" t="s">
        <v>148</v>
      </c>
      <c r="G8" s="19">
        <v>3143.76</v>
      </c>
      <c r="H8" s="21" t="s">
        <v>153</v>
      </c>
      <c r="I8" s="21" t="s">
        <v>154</v>
      </c>
      <c r="K8" s="20" t="s">
        <v>188</v>
      </c>
      <c r="L8" s="39">
        <f>MEDIAN(G4:G10)</f>
        <v>3143.76</v>
      </c>
    </row>
    <row r="9" spans="2:12" ht="45" customHeight="1">
      <c r="B9" s="9" t="s">
        <v>216</v>
      </c>
      <c r="C9" s="16">
        <v>927988</v>
      </c>
      <c r="D9" s="9" t="s">
        <v>98</v>
      </c>
      <c r="E9" s="9" t="s">
        <v>113</v>
      </c>
      <c r="F9" s="16" t="s">
        <v>128</v>
      </c>
      <c r="G9" s="19">
        <v>3143.76</v>
      </c>
      <c r="H9" s="21" t="s">
        <v>217</v>
      </c>
      <c r="I9" s="21" t="s">
        <v>218</v>
      </c>
      <c r="K9" s="9" t="s">
        <v>135</v>
      </c>
      <c r="L9" s="40">
        <f>COUNTA(G4:G10)</f>
        <v>7</v>
      </c>
    </row>
    <row r="10" spans="2:12" ht="45" customHeight="1">
      <c r="B10" s="9" t="s">
        <v>155</v>
      </c>
      <c r="C10" s="16">
        <v>925158</v>
      </c>
      <c r="D10" s="9" t="s">
        <v>98</v>
      </c>
      <c r="E10" s="9" t="s">
        <v>144</v>
      </c>
      <c r="F10" s="16" t="s">
        <v>128</v>
      </c>
      <c r="G10" s="19">
        <v>3143.76</v>
      </c>
      <c r="H10" s="21" t="s">
        <v>141</v>
      </c>
      <c r="I10" s="21" t="s">
        <v>125</v>
      </c>
      <c r="K10" s="9" t="s">
        <v>136</v>
      </c>
      <c r="L10" s="40">
        <f>COUNTIFS(G4:G10,"&gt;="&amp;L5,G4:G10,"&lt;="&amp;L6)</f>
        <v>7</v>
      </c>
    </row>
    <row r="11" spans="2:12" ht="45" customHeight="1">
      <c r="K11" s="9" t="s">
        <v>195</v>
      </c>
      <c r="L11" s="41">
        <f>_xlfn.STDEV.S(G4:G10)</f>
        <v>4.91183277397178E-13</v>
      </c>
    </row>
    <row r="12" spans="2:12" ht="45" customHeight="1">
      <c r="K12" s="9" t="s">
        <v>183</v>
      </c>
      <c r="L12" s="37">
        <f>L11/(AVERAGE(G4:G10))</f>
        <v>1.5624070456942579E-16</v>
      </c>
    </row>
    <row r="13" spans="2:12" ht="45" customHeight="1">
      <c r="K13" s="9" t="s">
        <v>186</v>
      </c>
      <c r="L13" s="37" t="str">
        <f>IF(L12&gt;=25%,"Mediana","Média")</f>
        <v>Média</v>
      </c>
    </row>
    <row r="14" spans="2:12" ht="45" customHeight="1"/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60DCB-7EF2-4FFF-A569-7A5B8358D173}">
  <dimension ref="B1:R28"/>
  <sheetViews>
    <sheetView showGridLines="0" topLeftCell="E18" zoomScale="70" zoomScaleNormal="70" workbookViewId="0">
      <selection activeCell="Q13" sqref="Q13"/>
    </sheetView>
  </sheetViews>
  <sheetFormatPr defaultColWidth="9.1796875" defaultRowHeight="14.5"/>
  <cols>
    <col min="1" max="1" width="9.1796875" style="12"/>
    <col min="2" max="2" width="20.7265625" style="12" customWidth="1"/>
    <col min="3" max="3" width="23.90625" style="12" customWidth="1"/>
    <col min="4" max="5" width="20.7265625" style="12" customWidth="1"/>
    <col min="6" max="6" width="18.453125" style="18" customWidth="1"/>
    <col min="7" max="7" width="15.54296875" style="12" customWidth="1"/>
    <col min="8" max="8" width="19.453125" style="12" customWidth="1"/>
    <col min="9" max="9" width="16.1796875" style="12" customWidth="1"/>
    <col min="10" max="10" width="14.7265625" style="12" customWidth="1"/>
    <col min="11" max="11" width="12.453125" style="12" customWidth="1"/>
    <col min="12" max="12" width="16.90625" style="12" customWidth="1"/>
    <col min="13" max="15" width="12.90625" style="12" customWidth="1"/>
    <col min="16" max="16" width="14.08984375" style="12" customWidth="1"/>
    <col min="17" max="18" width="13.36328125" style="12" customWidth="1"/>
    <col min="19" max="16384" width="9.1796875" style="12"/>
  </cols>
  <sheetData>
    <row r="1" spans="2:18" ht="15" thickBot="1"/>
    <row r="2" spans="2:18" ht="15" thickBot="1">
      <c r="B2" s="102" t="s">
        <v>277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4"/>
    </row>
    <row r="3" spans="2:18" ht="15" thickBo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2:18" ht="14.5" customHeight="1">
      <c r="B4" s="105" t="s">
        <v>253</v>
      </c>
      <c r="C4" s="105" t="s">
        <v>250</v>
      </c>
      <c r="D4" s="105" t="s">
        <v>252</v>
      </c>
      <c r="E4" s="107" t="s">
        <v>251</v>
      </c>
      <c r="F4" s="93"/>
      <c r="G4" s="93"/>
      <c r="H4" s="93"/>
      <c r="I4" s="94"/>
      <c r="J4" s="109" t="s">
        <v>254</v>
      </c>
      <c r="K4" s="110"/>
      <c r="L4" s="110"/>
      <c r="M4" s="111"/>
      <c r="N4" s="115" t="s">
        <v>255</v>
      </c>
      <c r="O4" s="115" t="s">
        <v>280</v>
      </c>
      <c r="P4" s="115" t="s">
        <v>281</v>
      </c>
      <c r="Q4" s="115" t="s">
        <v>279</v>
      </c>
    </row>
    <row r="5" spans="2:18">
      <c r="B5" s="106"/>
      <c r="C5" s="106"/>
      <c r="D5" s="106"/>
      <c r="E5" s="108"/>
      <c r="F5" s="95"/>
      <c r="G5" s="95"/>
      <c r="H5" s="95"/>
      <c r="I5" s="96"/>
      <c r="J5" s="112"/>
      <c r="K5" s="113"/>
      <c r="L5" s="113"/>
      <c r="M5" s="114"/>
      <c r="N5" s="116"/>
      <c r="O5" s="116"/>
      <c r="P5" s="116"/>
      <c r="Q5" s="116"/>
    </row>
    <row r="6" spans="2:18" ht="58" customHeight="1">
      <c r="B6" s="106"/>
      <c r="C6" s="106"/>
      <c r="D6" s="106"/>
      <c r="E6" s="108"/>
      <c r="F6" s="73" t="s">
        <v>256</v>
      </c>
      <c r="G6" s="118" t="s">
        <v>257</v>
      </c>
      <c r="H6" s="119"/>
      <c r="I6" s="120"/>
      <c r="J6" s="123" t="s">
        <v>258</v>
      </c>
      <c r="K6" s="123"/>
      <c r="L6" s="123"/>
      <c r="M6" s="124"/>
      <c r="N6" s="116"/>
      <c r="O6" s="116"/>
      <c r="P6" s="116"/>
      <c r="Q6" s="116"/>
    </row>
    <row r="7" spans="2:18" ht="71" customHeight="1">
      <c r="B7" s="106"/>
      <c r="C7" s="106"/>
      <c r="D7" s="106"/>
      <c r="E7" s="108"/>
      <c r="F7" s="71" t="s">
        <v>259</v>
      </c>
      <c r="G7" s="72" t="s">
        <v>259</v>
      </c>
      <c r="H7" s="71" t="s">
        <v>259</v>
      </c>
      <c r="I7" s="72" t="s">
        <v>259</v>
      </c>
      <c r="J7" s="70" t="s">
        <v>260</v>
      </c>
      <c r="K7" s="73" t="s">
        <v>261</v>
      </c>
      <c r="L7" s="73" t="s">
        <v>262</v>
      </c>
      <c r="M7" s="74" t="s">
        <v>263</v>
      </c>
      <c r="N7" s="117"/>
      <c r="O7" s="117"/>
      <c r="P7" s="117"/>
      <c r="Q7" s="117"/>
    </row>
    <row r="8" spans="2:18" ht="116">
      <c r="B8" s="75">
        <v>1</v>
      </c>
      <c r="C8" s="76" t="s">
        <v>267</v>
      </c>
      <c r="D8" s="76" t="s">
        <v>264</v>
      </c>
      <c r="E8" s="77">
        <v>21</v>
      </c>
      <c r="F8" s="78">
        <v>430.44</v>
      </c>
      <c r="G8" s="92">
        <v>420</v>
      </c>
      <c r="H8" s="78">
        <v>475</v>
      </c>
      <c r="I8" s="92"/>
      <c r="J8" s="81">
        <f>_xlfn.STDEV.S(F8,G8,H8,I8)</f>
        <v>29.210692106373195</v>
      </c>
      <c r="K8" s="82">
        <f>AVERAGE(F8,G8,H8,I8)</f>
        <v>441.81333333333333</v>
      </c>
      <c r="L8" s="83">
        <f>SUM(J8,K8)</f>
        <v>471.02402543970652</v>
      </c>
      <c r="M8" s="84">
        <f>K8-J8</f>
        <v>412.60264122696015</v>
      </c>
      <c r="N8" s="85">
        <v>420</v>
      </c>
      <c r="O8" s="97">
        <v>2</v>
      </c>
      <c r="P8" s="85" t="s">
        <v>282</v>
      </c>
      <c r="Q8" s="85">
        <f>((N8*2)*O8)/12</f>
        <v>140</v>
      </c>
    </row>
    <row r="9" spans="2:18" ht="43.5">
      <c r="B9" s="75">
        <f t="shared" ref="B9:B13" si="0">B8+1</f>
        <v>2</v>
      </c>
      <c r="C9" s="76" t="s">
        <v>268</v>
      </c>
      <c r="D9" s="76" t="s">
        <v>264</v>
      </c>
      <c r="E9" s="77">
        <v>21</v>
      </c>
      <c r="F9" s="78">
        <v>113.57</v>
      </c>
      <c r="G9" s="92">
        <v>56</v>
      </c>
      <c r="H9" s="78">
        <v>62</v>
      </c>
      <c r="I9" s="92">
        <v>97</v>
      </c>
      <c r="J9" s="81">
        <f t="shared" ref="J9:J12" si="1">_xlfn.STDEV.S(F9,G9,H9,I9)</f>
        <v>27.674197820352454</v>
      </c>
      <c r="K9" s="82">
        <f t="shared" ref="K9:K12" si="2">AVERAGE(F9,G9,H9,I9)</f>
        <v>82.142499999999998</v>
      </c>
      <c r="L9" s="83">
        <f t="shared" ref="L9:L13" si="3">SUM(J9,K9)</f>
        <v>109.81669782035246</v>
      </c>
      <c r="M9" s="84">
        <f t="shared" ref="M9:M13" si="4">K9-J9</f>
        <v>54.468302179647544</v>
      </c>
      <c r="N9" s="85">
        <v>56</v>
      </c>
      <c r="O9" s="97">
        <v>2</v>
      </c>
      <c r="P9" s="85" t="s">
        <v>282</v>
      </c>
      <c r="Q9" s="85">
        <f t="shared" ref="Q9:Q13" si="5">((N9*2)*O9)/12</f>
        <v>18.666666666666668</v>
      </c>
    </row>
    <row r="10" spans="2:18">
      <c r="B10" s="75">
        <f t="shared" si="0"/>
        <v>3</v>
      </c>
      <c r="C10" s="76" t="s">
        <v>269</v>
      </c>
      <c r="D10" s="76" t="s">
        <v>264</v>
      </c>
      <c r="E10" s="77">
        <v>21</v>
      </c>
      <c r="F10" s="78">
        <v>49.9</v>
      </c>
      <c r="G10" s="92">
        <v>20.77</v>
      </c>
      <c r="H10" s="78">
        <v>26</v>
      </c>
      <c r="I10" s="92">
        <v>49</v>
      </c>
      <c r="J10" s="81">
        <f t="shared" si="1"/>
        <v>15.203789823593301</v>
      </c>
      <c r="K10" s="82">
        <f t="shared" si="2"/>
        <v>36.417500000000004</v>
      </c>
      <c r="L10" s="83">
        <f t="shared" si="3"/>
        <v>51.621289823593301</v>
      </c>
      <c r="M10" s="84">
        <f t="shared" si="4"/>
        <v>21.213710176406703</v>
      </c>
      <c r="N10" s="85">
        <v>36.42</v>
      </c>
      <c r="O10" s="97">
        <v>2</v>
      </c>
      <c r="P10" s="85" t="s">
        <v>282</v>
      </c>
      <c r="Q10" s="85">
        <f t="shared" si="5"/>
        <v>12.14</v>
      </c>
    </row>
    <row r="11" spans="2:18" ht="29">
      <c r="B11" s="75">
        <f t="shared" si="0"/>
        <v>4</v>
      </c>
      <c r="C11" s="76" t="s">
        <v>270</v>
      </c>
      <c r="D11" s="76" t="s">
        <v>265</v>
      </c>
      <c r="E11" s="77">
        <v>21</v>
      </c>
      <c r="F11" s="78">
        <v>37.5</v>
      </c>
      <c r="G11" s="92">
        <v>38.549999999999997</v>
      </c>
      <c r="H11" s="78">
        <v>42.69</v>
      </c>
      <c r="I11" s="92">
        <v>42.69</v>
      </c>
      <c r="J11" s="81">
        <f t="shared" si="1"/>
        <v>2.727237613410316</v>
      </c>
      <c r="K11" s="82">
        <f t="shared" si="2"/>
        <v>40.357500000000002</v>
      </c>
      <c r="L11" s="83">
        <f t="shared" si="3"/>
        <v>43.084737613410319</v>
      </c>
      <c r="M11" s="84">
        <f t="shared" si="4"/>
        <v>37.630262386589685</v>
      </c>
      <c r="N11" s="85">
        <v>38.549999999999997</v>
      </c>
      <c r="O11" s="97">
        <v>2</v>
      </c>
      <c r="P11" s="85" t="s">
        <v>282</v>
      </c>
      <c r="Q11" s="85">
        <f t="shared" si="5"/>
        <v>12.85</v>
      </c>
    </row>
    <row r="12" spans="2:18" ht="61" customHeight="1">
      <c r="B12" s="75">
        <f t="shared" si="0"/>
        <v>5</v>
      </c>
      <c r="C12" s="76" t="s">
        <v>271</v>
      </c>
      <c r="D12" s="76" t="s">
        <v>252</v>
      </c>
      <c r="E12" s="77">
        <v>21</v>
      </c>
      <c r="F12" s="78">
        <v>59.28</v>
      </c>
      <c r="G12" s="92">
        <v>25.5</v>
      </c>
      <c r="H12" s="78">
        <v>28</v>
      </c>
      <c r="I12" s="92">
        <v>29.9</v>
      </c>
      <c r="J12" s="81">
        <f t="shared" si="1"/>
        <v>15.84279857432602</v>
      </c>
      <c r="K12" s="82">
        <f t="shared" si="2"/>
        <v>35.67</v>
      </c>
      <c r="L12" s="83">
        <f t="shared" si="3"/>
        <v>51.51279857432602</v>
      </c>
      <c r="M12" s="84">
        <f t="shared" si="4"/>
        <v>19.827201425673984</v>
      </c>
      <c r="N12" s="85">
        <v>25.5</v>
      </c>
      <c r="O12" s="97">
        <v>2</v>
      </c>
      <c r="P12" s="85" t="s">
        <v>282</v>
      </c>
      <c r="Q12" s="85">
        <f t="shared" si="5"/>
        <v>8.5</v>
      </c>
    </row>
    <row r="13" spans="2:18" ht="29.5" thickBot="1">
      <c r="B13" s="75">
        <f t="shared" si="0"/>
        <v>6</v>
      </c>
      <c r="C13" s="76" t="s">
        <v>272</v>
      </c>
      <c r="D13" s="76" t="s">
        <v>265</v>
      </c>
      <c r="E13" s="77">
        <v>21</v>
      </c>
      <c r="F13" s="78">
        <v>81</v>
      </c>
      <c r="G13" s="92">
        <v>135</v>
      </c>
      <c r="H13" s="78">
        <v>198.3</v>
      </c>
      <c r="I13" s="92"/>
      <c r="J13" s="81">
        <f>_xlfn.STDEV.S(F13,G13,H13)</f>
        <v>58.711412859852032</v>
      </c>
      <c r="K13" s="82">
        <f>AVERAGE(F13,G13,H13)</f>
        <v>138.1</v>
      </c>
      <c r="L13" s="83">
        <f t="shared" si="3"/>
        <v>196.81141285985203</v>
      </c>
      <c r="M13" s="84">
        <f t="shared" si="4"/>
        <v>79.388587140147962</v>
      </c>
      <c r="N13" s="85">
        <v>81</v>
      </c>
      <c r="O13" s="97">
        <v>2</v>
      </c>
      <c r="P13" s="85" t="s">
        <v>282</v>
      </c>
      <c r="Q13" s="98">
        <f t="shared" si="5"/>
        <v>27</v>
      </c>
    </row>
    <row r="14" spans="2:18" ht="15" thickBot="1">
      <c r="F14" s="12"/>
      <c r="Q14" s="99">
        <f>SUM(Q8:Q13)</f>
        <v>219.15666666666667</v>
      </c>
    </row>
    <row r="15" spans="2:18">
      <c r="F15" s="12"/>
    </row>
    <row r="16" spans="2:18" ht="15" thickBot="1">
      <c r="F16" s="12"/>
    </row>
    <row r="17" spans="2:17" ht="15" thickBot="1">
      <c r="B17" s="102" t="s">
        <v>278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4"/>
    </row>
    <row r="18" spans="2:17" ht="15" thickBot="1">
      <c r="B18" s="68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 spans="2:17" ht="14.5" customHeight="1">
      <c r="B19" s="105" t="s">
        <v>253</v>
      </c>
      <c r="C19" s="105" t="s">
        <v>250</v>
      </c>
      <c r="D19" s="105" t="s">
        <v>252</v>
      </c>
      <c r="E19" s="107" t="s">
        <v>251</v>
      </c>
      <c r="F19" s="93"/>
      <c r="G19" s="93"/>
      <c r="H19" s="93"/>
      <c r="I19" s="94"/>
      <c r="J19" s="105" t="s">
        <v>254</v>
      </c>
      <c r="K19" s="105"/>
      <c r="L19" s="105"/>
      <c r="M19" s="121"/>
      <c r="N19" s="115" t="s">
        <v>255</v>
      </c>
      <c r="O19" s="115" t="s">
        <v>280</v>
      </c>
      <c r="P19" s="115" t="s">
        <v>281</v>
      </c>
      <c r="Q19" s="115" t="s">
        <v>279</v>
      </c>
    </row>
    <row r="20" spans="2:17">
      <c r="B20" s="106"/>
      <c r="C20" s="106"/>
      <c r="D20" s="106"/>
      <c r="E20" s="108"/>
      <c r="F20" s="95"/>
      <c r="G20" s="95"/>
      <c r="H20" s="95"/>
      <c r="I20" s="96"/>
      <c r="J20" s="106"/>
      <c r="K20" s="106"/>
      <c r="L20" s="106"/>
      <c r="M20" s="122"/>
      <c r="N20" s="116"/>
      <c r="O20" s="116"/>
      <c r="P20" s="116"/>
      <c r="Q20" s="116"/>
    </row>
    <row r="21" spans="2:17" ht="57" customHeight="1">
      <c r="B21" s="106"/>
      <c r="C21" s="106"/>
      <c r="D21" s="106"/>
      <c r="E21" s="108"/>
      <c r="F21" s="73" t="s">
        <v>256</v>
      </c>
      <c r="G21" s="118" t="s">
        <v>257</v>
      </c>
      <c r="H21" s="119"/>
      <c r="I21" s="120"/>
      <c r="J21" s="123" t="s">
        <v>258</v>
      </c>
      <c r="K21" s="123"/>
      <c r="L21" s="123"/>
      <c r="M21" s="124"/>
      <c r="N21" s="116"/>
      <c r="O21" s="116"/>
      <c r="P21" s="116"/>
      <c r="Q21" s="116"/>
    </row>
    <row r="22" spans="2:17" ht="58" customHeight="1">
      <c r="B22" s="106"/>
      <c r="C22" s="106"/>
      <c r="D22" s="106"/>
      <c r="E22" s="108"/>
      <c r="F22" s="71" t="s">
        <v>259</v>
      </c>
      <c r="G22" s="72" t="s">
        <v>259</v>
      </c>
      <c r="H22" s="71" t="s">
        <v>259</v>
      </c>
      <c r="I22" s="72" t="s">
        <v>259</v>
      </c>
      <c r="J22" s="70" t="s">
        <v>260</v>
      </c>
      <c r="K22" s="73" t="s">
        <v>261</v>
      </c>
      <c r="L22" s="73" t="s">
        <v>262</v>
      </c>
      <c r="M22" s="74" t="s">
        <v>263</v>
      </c>
      <c r="N22" s="117"/>
      <c r="O22" s="117"/>
      <c r="P22" s="117"/>
      <c r="Q22" s="117"/>
    </row>
    <row r="23" spans="2:17">
      <c r="B23" s="75">
        <v>1</v>
      </c>
      <c r="C23" s="76" t="s">
        <v>273</v>
      </c>
      <c r="D23" s="76" t="s">
        <v>264</v>
      </c>
      <c r="E23" s="77">
        <v>8</v>
      </c>
      <c r="F23" s="78">
        <v>127.01</v>
      </c>
      <c r="G23" s="79">
        <v>77.44</v>
      </c>
      <c r="H23" s="80">
        <v>98</v>
      </c>
      <c r="I23" s="79">
        <v>150</v>
      </c>
      <c r="J23" s="81">
        <f>_xlfn.STDEV.S(F23,G23,H23,I23)</f>
        <v>31.90999360179611</v>
      </c>
      <c r="K23" s="82">
        <f>AVERAGE(F23,G23,H23,I23)</f>
        <v>113.1125</v>
      </c>
      <c r="L23" s="83">
        <f>SUM(J23,K23)</f>
        <v>145.0224936017961</v>
      </c>
      <c r="M23" s="84">
        <f>K23-J23</f>
        <v>81.202506398203894</v>
      </c>
      <c r="N23" s="85">
        <v>113.11</v>
      </c>
      <c r="O23" s="97">
        <v>2</v>
      </c>
      <c r="P23" s="85" t="s">
        <v>282</v>
      </c>
      <c r="Q23" s="85">
        <f>((N23*2)*O23)/12</f>
        <v>37.703333333333333</v>
      </c>
    </row>
    <row r="24" spans="2:17">
      <c r="B24" s="75">
        <f t="shared" ref="B24:B27" si="6">B23+1</f>
        <v>2</v>
      </c>
      <c r="C24" s="77" t="s">
        <v>274</v>
      </c>
      <c r="D24" s="76" t="s">
        <v>264</v>
      </c>
      <c r="E24" s="77">
        <v>8</v>
      </c>
      <c r="F24" s="78">
        <v>49.36</v>
      </c>
      <c r="G24" s="79">
        <v>20</v>
      </c>
      <c r="H24" s="80">
        <v>39</v>
      </c>
      <c r="I24" s="79">
        <v>48.9</v>
      </c>
      <c r="J24" s="81">
        <f>_xlfn.STDEV.S(F24,G24,H24,I24)</f>
        <v>13.734903227422713</v>
      </c>
      <c r="K24" s="82">
        <f t="shared" ref="K24:K27" si="7">AVERAGE(F24,G24,H24,I24)</f>
        <v>39.314999999999998</v>
      </c>
      <c r="L24" s="83">
        <f t="shared" ref="L24:L27" si="8">SUM(J24,K24)</f>
        <v>53.04990322742271</v>
      </c>
      <c r="M24" s="84">
        <f t="shared" ref="M24:M27" si="9">K24-J24</f>
        <v>25.580096772577285</v>
      </c>
      <c r="N24" s="85">
        <v>39.32</v>
      </c>
      <c r="O24" s="97">
        <v>2</v>
      </c>
      <c r="P24" s="85" t="s">
        <v>282</v>
      </c>
      <c r="Q24" s="85">
        <f t="shared" ref="Q24:Q27" si="10">((N24*2)*O24)/12</f>
        <v>13.106666666666667</v>
      </c>
    </row>
    <row r="25" spans="2:17">
      <c r="B25" s="75">
        <f t="shared" si="6"/>
        <v>3</v>
      </c>
      <c r="C25" s="77" t="s">
        <v>266</v>
      </c>
      <c r="D25" s="76" t="s">
        <v>264</v>
      </c>
      <c r="E25" s="77">
        <v>8</v>
      </c>
      <c r="F25" s="78">
        <v>44.99</v>
      </c>
      <c r="G25" s="79">
        <v>21.99</v>
      </c>
      <c r="H25" s="78">
        <v>22</v>
      </c>
      <c r="I25" s="79">
        <v>22</v>
      </c>
      <c r="J25" s="81">
        <f t="shared" ref="J25:J27" si="11">_xlfn.STDEV.S(F25,G25,H25,I25)</f>
        <v>11.496667633130338</v>
      </c>
      <c r="K25" s="82">
        <f t="shared" si="7"/>
        <v>27.745000000000001</v>
      </c>
      <c r="L25" s="83">
        <f t="shared" si="8"/>
        <v>39.241667633130341</v>
      </c>
      <c r="M25" s="84">
        <f>K25-J25</f>
        <v>16.248332366869661</v>
      </c>
      <c r="N25" s="85">
        <v>36.42</v>
      </c>
      <c r="O25" s="97">
        <v>2</v>
      </c>
      <c r="P25" s="85" t="s">
        <v>282</v>
      </c>
      <c r="Q25" s="85">
        <f t="shared" si="10"/>
        <v>12.14</v>
      </c>
    </row>
    <row r="26" spans="2:17" ht="29">
      <c r="B26" s="75">
        <f t="shared" si="6"/>
        <v>4</v>
      </c>
      <c r="C26" s="76" t="s">
        <v>275</v>
      </c>
      <c r="D26" s="76" t="s">
        <v>265</v>
      </c>
      <c r="E26" s="77">
        <v>8</v>
      </c>
      <c r="F26" s="78">
        <v>202.62</v>
      </c>
      <c r="G26" s="79">
        <v>161.69</v>
      </c>
      <c r="H26" s="78">
        <v>175</v>
      </c>
      <c r="I26" s="79">
        <v>200</v>
      </c>
      <c r="J26" s="81">
        <f t="shared" si="11"/>
        <v>19.821717676999306</v>
      </c>
      <c r="K26" s="82">
        <f t="shared" si="7"/>
        <v>184.82749999999999</v>
      </c>
      <c r="L26" s="83">
        <f t="shared" si="8"/>
        <v>204.64921767699929</v>
      </c>
      <c r="M26" s="84">
        <f t="shared" si="9"/>
        <v>165.00578232300069</v>
      </c>
      <c r="N26" s="85">
        <v>184.83</v>
      </c>
      <c r="O26" s="97">
        <v>2</v>
      </c>
      <c r="P26" s="85" t="s">
        <v>282</v>
      </c>
      <c r="Q26" s="85">
        <f t="shared" si="10"/>
        <v>61.610000000000007</v>
      </c>
    </row>
    <row r="27" spans="2:17" ht="29.5" thickBot="1">
      <c r="B27" s="86">
        <f t="shared" si="6"/>
        <v>5</v>
      </c>
      <c r="C27" s="87" t="s">
        <v>276</v>
      </c>
      <c r="D27" s="87" t="s">
        <v>265</v>
      </c>
      <c r="E27" s="77">
        <v>8</v>
      </c>
      <c r="F27" s="88">
        <v>27.21</v>
      </c>
      <c r="G27" s="89">
        <v>8.9</v>
      </c>
      <c r="H27" s="88">
        <v>9.4</v>
      </c>
      <c r="I27" s="89">
        <v>9.5</v>
      </c>
      <c r="J27" s="81">
        <f t="shared" si="11"/>
        <v>8.9755050925653617</v>
      </c>
      <c r="K27" s="82">
        <f t="shared" si="7"/>
        <v>13.7525</v>
      </c>
      <c r="L27" s="90">
        <f t="shared" si="8"/>
        <v>22.728005092565361</v>
      </c>
      <c r="M27" s="91">
        <f t="shared" si="9"/>
        <v>4.7769949074346378</v>
      </c>
      <c r="N27" s="85">
        <v>8.9</v>
      </c>
      <c r="O27" s="97">
        <v>2</v>
      </c>
      <c r="P27" s="85" t="s">
        <v>282</v>
      </c>
      <c r="Q27" s="98">
        <f t="shared" si="10"/>
        <v>2.9666666666666668</v>
      </c>
    </row>
    <row r="28" spans="2:17" ht="15" thickBot="1">
      <c r="Q28" s="99">
        <f>SUM(Q23:Q27)</f>
        <v>127.52666666666667</v>
      </c>
    </row>
  </sheetData>
  <mergeCells count="24">
    <mergeCell ref="N19:N22"/>
    <mergeCell ref="O19:O22"/>
    <mergeCell ref="Q19:Q22"/>
    <mergeCell ref="P19:P22"/>
    <mergeCell ref="G21:I21"/>
    <mergeCell ref="J21:M21"/>
    <mergeCell ref="B17:P17"/>
    <mergeCell ref="O4:O7"/>
    <mergeCell ref="N4:N7"/>
    <mergeCell ref="P4:P7"/>
    <mergeCell ref="J6:M6"/>
    <mergeCell ref="B19:B22"/>
    <mergeCell ref="C19:C22"/>
    <mergeCell ref="D19:D22"/>
    <mergeCell ref="E19:E22"/>
    <mergeCell ref="J19:M20"/>
    <mergeCell ref="B2:R2"/>
    <mergeCell ref="B4:B7"/>
    <mergeCell ref="C4:C7"/>
    <mergeCell ref="D4:D7"/>
    <mergeCell ref="E4:E7"/>
    <mergeCell ref="J4:M5"/>
    <mergeCell ref="Q4:Q7"/>
    <mergeCell ref="G6:I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843B0-7903-44C7-A1E1-1C27E1030286}">
  <dimension ref="A1:AMI32"/>
  <sheetViews>
    <sheetView showGridLines="0" topLeftCell="A2" workbookViewId="0">
      <selection activeCell="H8" sqref="H8"/>
    </sheetView>
  </sheetViews>
  <sheetFormatPr defaultRowHeight="14.5"/>
  <cols>
    <col min="1" max="1" width="53.26953125" style="12" customWidth="1"/>
    <col min="2" max="26" width="17.81640625" style="12" customWidth="1"/>
    <col min="27" max="1010" width="9.1796875" style="12"/>
    <col min="1011" max="1024" width="8.7265625" customWidth="1"/>
  </cols>
  <sheetData>
    <row r="1" spans="1:1023" ht="13.9" customHeight="1"/>
    <row r="2" spans="1:1023" s="13" customFormat="1" ht="100" customHeight="1">
      <c r="A2" s="1" t="s">
        <v>196</v>
      </c>
      <c r="B2" s="1" t="s">
        <v>178</v>
      </c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200</v>
      </c>
      <c r="K2" s="1" t="s">
        <v>208</v>
      </c>
      <c r="L2" s="1" t="s">
        <v>209</v>
      </c>
      <c r="M2" s="1" t="s">
        <v>210</v>
      </c>
      <c r="N2" s="1" t="s">
        <v>211</v>
      </c>
      <c r="O2" s="1" t="s">
        <v>212</v>
      </c>
      <c r="P2" s="1" t="s">
        <v>213</v>
      </c>
      <c r="Q2" s="1" t="s">
        <v>214</v>
      </c>
      <c r="R2" s="1" t="s">
        <v>215</v>
      </c>
      <c r="S2" s="1"/>
      <c r="T2" s="1"/>
      <c r="U2" s="1"/>
      <c r="V2" s="1"/>
      <c r="W2" s="1"/>
      <c r="X2" s="1"/>
      <c r="Y2" s="1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/>
    </row>
    <row r="3" spans="1:1023" s="42" customFormat="1" ht="90" customHeight="1">
      <c r="A3" s="17" t="s">
        <v>198</v>
      </c>
      <c r="B3" s="15" t="s">
        <v>197</v>
      </c>
      <c r="C3" s="43">
        <v>5.4999999999999997E-3</v>
      </c>
      <c r="D3" s="43">
        <v>1.4999999999999999E-2</v>
      </c>
      <c r="E3" s="43">
        <v>5.0000000000000001E-3</v>
      </c>
      <c r="F3" s="43">
        <v>0.05</v>
      </c>
      <c r="G3" s="43">
        <v>6.1999999999999998E-3</v>
      </c>
      <c r="H3" s="43">
        <v>1.4999999999999999E-2</v>
      </c>
      <c r="I3" s="43">
        <v>1.4999999999999999E-2</v>
      </c>
      <c r="J3" s="43">
        <v>0.04</v>
      </c>
      <c r="K3" s="43">
        <v>0.04</v>
      </c>
      <c r="L3" s="43">
        <v>0.04</v>
      </c>
      <c r="M3" s="43">
        <v>0.01</v>
      </c>
      <c r="N3" s="43">
        <v>0.01</v>
      </c>
      <c r="O3" s="43">
        <v>0.01</v>
      </c>
      <c r="P3" s="43">
        <v>0.01</v>
      </c>
      <c r="Q3" s="43">
        <v>0.01</v>
      </c>
      <c r="R3" s="43">
        <v>0.01</v>
      </c>
      <c r="S3" s="43"/>
      <c r="T3" s="43"/>
      <c r="U3" s="43"/>
      <c r="V3" s="43"/>
      <c r="W3" s="43"/>
      <c r="X3" s="43"/>
      <c r="Y3" s="43"/>
    </row>
    <row r="5" spans="1:1023">
      <c r="A5" s="1" t="s">
        <v>131</v>
      </c>
      <c r="B5" s="43">
        <f>AVERAGE(C3:Y3)</f>
        <v>1.8231250000000004E-2</v>
      </c>
    </row>
    <row r="6" spans="1:1023">
      <c r="A6" s="1" t="s">
        <v>177</v>
      </c>
      <c r="B6" s="43">
        <f>_xlfn.STDEV.S(C3:Y3)</f>
        <v>1.494575608659527E-2</v>
      </c>
      <c r="G6" s="29" t="s">
        <v>182</v>
      </c>
      <c r="H6" s="13">
        <f>COUNTIFS(C3:Y3,"&gt;="&amp;B7,C3:Y3,"&lt;="&amp;B8)</f>
        <v>12</v>
      </c>
    </row>
    <row r="7" spans="1:1023">
      <c r="A7" s="1" t="s">
        <v>179</v>
      </c>
      <c r="B7" s="43">
        <f>B5-B6</f>
        <v>3.2854939134047342E-3</v>
      </c>
      <c r="G7" s="29" t="s">
        <v>194</v>
      </c>
      <c r="H7" s="44">
        <f>_xlfn.STDEV.S(C3,D3,E3,G3,H3,I3,M3,N3,O3,P3,Q3,R3)</f>
        <v>3.4960908905735831E-3</v>
      </c>
    </row>
    <row r="8" spans="1:1023">
      <c r="A8" s="1" t="s">
        <v>180</v>
      </c>
      <c r="B8" s="43">
        <f>B5+B6</f>
        <v>3.3177006086595275E-2</v>
      </c>
      <c r="G8" s="29" t="s">
        <v>184</v>
      </c>
      <c r="H8" s="36">
        <f>H7/(AVERAGE(C3,D3,E3,G3,H3,I3,M3,N3,O3,P3,Q3,R3))</f>
        <v>0.34472547811736237</v>
      </c>
    </row>
    <row r="9" spans="1:1023">
      <c r="A9" s="1" t="s">
        <v>181</v>
      </c>
      <c r="B9" s="43">
        <f>AVERAGEIFS(C3:Y3,C3:Y3,"&lt;="&amp;B8,C3:Y3,"&gt;="&amp;B7)</f>
        <v>1.0141666666666665E-2</v>
      </c>
      <c r="G9" s="29" t="s">
        <v>187</v>
      </c>
      <c r="H9" s="13" t="str">
        <f>IF(H8&gt;=25%,"Mediana","Média")</f>
        <v>Mediana</v>
      </c>
    </row>
    <row r="10" spans="1:1023">
      <c r="A10" s="1" t="s">
        <v>185</v>
      </c>
      <c r="B10" s="43">
        <f>MEDIAN(C3,D3,E3,G3,H3,I3,M3,N3,O3,P3,Q3,R3)</f>
        <v>0.01</v>
      </c>
    </row>
    <row r="14" spans="1:1023" s="13" customFormat="1" ht="100" customHeight="1">
      <c r="A14" s="1" t="s">
        <v>66</v>
      </c>
      <c r="B14" s="1" t="s">
        <v>178</v>
      </c>
      <c r="C14" s="1" t="s">
        <v>201</v>
      </c>
      <c r="D14" s="1" t="s">
        <v>202</v>
      </c>
      <c r="E14" s="1" t="s">
        <v>203</v>
      </c>
      <c r="F14" s="1" t="s">
        <v>204</v>
      </c>
      <c r="G14" s="1" t="s">
        <v>205</v>
      </c>
      <c r="H14" s="1" t="s">
        <v>206</v>
      </c>
      <c r="I14" s="1" t="s">
        <v>207</v>
      </c>
      <c r="J14" s="1" t="s">
        <v>200</v>
      </c>
      <c r="K14" s="1" t="s">
        <v>208</v>
      </c>
      <c r="L14" s="1" t="s">
        <v>209</v>
      </c>
      <c r="M14" s="1" t="s">
        <v>210</v>
      </c>
      <c r="N14" s="1" t="s">
        <v>211</v>
      </c>
      <c r="O14" s="1" t="s">
        <v>212</v>
      </c>
      <c r="P14" s="1" t="s">
        <v>213</v>
      </c>
      <c r="Q14" s="1" t="s">
        <v>214</v>
      </c>
      <c r="R14" s="1" t="s">
        <v>215</v>
      </c>
      <c r="S14" s="1"/>
      <c r="T14" s="1"/>
      <c r="U14" s="1"/>
      <c r="V14" s="1"/>
      <c r="W14" s="1"/>
      <c r="X14" s="1"/>
      <c r="Y14" s="1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/>
    </row>
    <row r="15" spans="1:1023" s="42" customFormat="1" ht="59.25" customHeight="1">
      <c r="A15" s="17" t="s">
        <v>199</v>
      </c>
      <c r="B15" s="15" t="s">
        <v>197</v>
      </c>
      <c r="C15" s="43">
        <v>5.3E-3</v>
      </c>
      <c r="D15" s="43">
        <v>1.4999999999999999E-2</v>
      </c>
      <c r="E15" s="43">
        <v>5.0000000000000001E-3</v>
      </c>
      <c r="F15" s="43">
        <v>5.0200000000000002E-2</v>
      </c>
      <c r="G15" s="43">
        <v>8.5000000000000006E-3</v>
      </c>
      <c r="H15" s="43">
        <v>1.7500000000000002E-2</v>
      </c>
      <c r="I15" s="43">
        <v>1.7500000000000002E-2</v>
      </c>
      <c r="J15" s="43">
        <v>4.8751999999999997E-2</v>
      </c>
      <c r="K15" s="43">
        <v>4.8301999999999998E-2</v>
      </c>
      <c r="L15" s="43">
        <v>4.7967000000000003E-2</v>
      </c>
      <c r="M15" s="43">
        <v>0.03</v>
      </c>
      <c r="N15" s="43">
        <v>0.04</v>
      </c>
      <c r="O15" s="43">
        <v>0.05</v>
      </c>
      <c r="P15" s="43">
        <v>0.06</v>
      </c>
      <c r="Q15" s="43">
        <v>0.05</v>
      </c>
      <c r="R15" s="43">
        <v>0.03</v>
      </c>
      <c r="S15" s="43"/>
      <c r="T15" s="43"/>
      <c r="U15" s="43"/>
      <c r="V15" s="43"/>
      <c r="W15" s="43"/>
      <c r="X15" s="43"/>
      <c r="Y15" s="43"/>
    </row>
    <row r="17" spans="1:1023">
      <c r="A17" s="1" t="s">
        <v>131</v>
      </c>
      <c r="B17" s="43">
        <f>AVERAGE(C15:Y15)</f>
        <v>3.2751312499999997E-2</v>
      </c>
    </row>
    <row r="18" spans="1:1023">
      <c r="A18" s="1" t="s">
        <v>177</v>
      </c>
      <c r="B18" s="43">
        <f>_xlfn.STDEV.S(C15:Y15)</f>
        <v>1.885237079598126E-2</v>
      </c>
      <c r="G18" s="29" t="s">
        <v>182</v>
      </c>
      <c r="H18" s="13">
        <f>COUNTIFS(C15:Y15,"&gt;="&amp;B19,C15:Y15,"&lt;="&amp;B20)</f>
        <v>12</v>
      </c>
    </row>
    <row r="19" spans="1:1023">
      <c r="A19" s="1" t="s">
        <v>179</v>
      </c>
      <c r="B19" s="43">
        <f>B17-B18</f>
        <v>1.3898941704018737E-2</v>
      </c>
      <c r="G19" s="29" t="s">
        <v>194</v>
      </c>
      <c r="H19" s="45">
        <f>_xlfn.STDEV.S(D15,F15,H15,I15,J15,K15,L15,M15,N15,O15,Q15,R15)</f>
        <v>1.430109836929256E-2</v>
      </c>
    </row>
    <row r="20" spans="1:1023">
      <c r="A20" s="1" t="s">
        <v>180</v>
      </c>
      <c r="B20" s="43">
        <f>B17+B18</f>
        <v>5.1603683295981258E-2</v>
      </c>
      <c r="G20" s="29" t="s">
        <v>184</v>
      </c>
      <c r="H20" s="42">
        <f>H19/(AVERAGE(D15,F15,H15,I15,J15,K15,L15,M15,N15,O15,Q15,R15))</f>
        <v>0.38545616768191693</v>
      </c>
    </row>
    <row r="21" spans="1:1023">
      <c r="A21" s="1" t="s">
        <v>181</v>
      </c>
      <c r="B21" s="43">
        <f>AVERAGEIFS(C15:Y15,C15:Y15,"&lt;="&amp;B20,C15:Y15,"&gt;="&amp;B19)</f>
        <v>3.7101749999999996E-2</v>
      </c>
      <c r="G21" s="29" t="s">
        <v>187</v>
      </c>
      <c r="H21" s="13" t="str">
        <f>IF(H20&gt;=25%,"Mediana","Média")</f>
        <v>Mediana</v>
      </c>
    </row>
    <row r="22" spans="1:1023">
      <c r="A22" s="1" t="s">
        <v>185</v>
      </c>
      <c r="B22" s="43">
        <f>MEDIAN(D15,F15,H15,I15,J15,K15,L15,M15,N15,O15,Q15,R15)</f>
        <v>4.3983500000000002E-2</v>
      </c>
    </row>
    <row r="28" spans="1:1023" s="12" customFormat="1" ht="13.9" customHeight="1">
      <c r="ALW28"/>
      <c r="ALX28"/>
      <c r="ALY28"/>
      <c r="ALZ28"/>
      <c r="AMA28"/>
      <c r="AMB28"/>
      <c r="AMC28"/>
      <c r="AMD28"/>
      <c r="AME28"/>
      <c r="AMF28"/>
      <c r="AMG28"/>
      <c r="AMH28"/>
      <c r="AMI28"/>
    </row>
    <row r="32" spans="1:1023" s="12" customFormat="1" ht="13.9" customHeight="1">
      <c r="ALW32"/>
      <c r="ALX32"/>
      <c r="ALY32"/>
      <c r="ALZ32"/>
      <c r="AMA32"/>
      <c r="AMB32"/>
      <c r="AMC32"/>
      <c r="AMD32"/>
      <c r="AME32"/>
      <c r="AMF32"/>
      <c r="AMG32"/>
      <c r="AMH32"/>
      <c r="AMI32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4A9C-25A2-436F-96F9-B918D4A62976}">
  <dimension ref="A1:Q125"/>
  <sheetViews>
    <sheetView showGridLines="0" tabSelected="1" topLeftCell="D112" zoomScaleNormal="100" workbookViewId="0">
      <selection activeCell="K74" sqref="K74:L74"/>
    </sheetView>
  </sheetViews>
  <sheetFormatPr defaultRowHeight="14.5"/>
  <cols>
    <col min="1" max="1" width="12.26953125" customWidth="1"/>
    <col min="2" max="2" width="54.81640625" customWidth="1"/>
    <col min="3" max="3" width="13.7265625" customWidth="1"/>
    <col min="4" max="4" width="17.7265625" customWidth="1"/>
    <col min="5" max="5" width="13.7265625" customWidth="1"/>
    <col min="6" max="6" width="17.7265625" customWidth="1"/>
    <col min="7" max="7" width="13.7265625" customWidth="1"/>
    <col min="8" max="8" width="17.7265625" customWidth="1"/>
    <col min="9" max="9" width="13.7265625" customWidth="1"/>
    <col min="10" max="10" width="17.7265625" customWidth="1"/>
    <col min="11" max="11" width="13.7265625" customWidth="1"/>
    <col min="12" max="12" width="17.7265625" customWidth="1"/>
    <col min="13" max="13" width="13.7265625" customWidth="1"/>
    <col min="14" max="14" width="17.7265625" customWidth="1"/>
    <col min="15" max="15" width="13.7265625" customWidth="1"/>
    <col min="16" max="16" width="17.7265625" customWidth="1"/>
    <col min="17" max="17" width="13.7265625" customWidth="1"/>
    <col min="18" max="18" width="17.7265625" customWidth="1"/>
    <col min="19" max="19" width="13.7265625" customWidth="1"/>
    <col min="20" max="20" width="17.7265625" customWidth="1"/>
    <col min="21" max="21" width="13.7265625" customWidth="1"/>
    <col min="22" max="22" width="17.7265625" customWidth="1"/>
    <col min="23" max="27" width="8.7265625" customWidth="1"/>
    <col min="29" max="1023" width="8.7265625" customWidth="1"/>
  </cols>
  <sheetData>
    <row r="1" spans="1:17" ht="40" customHeight="1">
      <c r="A1" s="127" t="s">
        <v>4</v>
      </c>
      <c r="B1" s="127"/>
      <c r="C1" s="125" t="s">
        <v>112</v>
      </c>
      <c r="D1" s="125"/>
      <c r="E1" s="125" t="s">
        <v>230</v>
      </c>
      <c r="F1" s="125"/>
      <c r="G1" s="125" t="s">
        <v>231</v>
      </c>
      <c r="H1" s="125"/>
      <c r="I1" s="125" t="s">
        <v>98</v>
      </c>
      <c r="J1" s="125"/>
      <c r="K1" s="125" t="s">
        <v>283</v>
      </c>
      <c r="L1" s="125"/>
      <c r="M1" s="125" t="s">
        <v>284</v>
      </c>
      <c r="N1" s="125"/>
      <c r="O1" s="125" t="s">
        <v>285</v>
      </c>
      <c r="P1" s="125"/>
    </row>
    <row r="2" spans="1:17">
      <c r="A2" s="25">
        <v>1</v>
      </c>
      <c r="B2" s="25" t="s">
        <v>5</v>
      </c>
      <c r="C2" s="25"/>
      <c r="D2" s="25" t="s">
        <v>6</v>
      </c>
      <c r="E2" s="25"/>
      <c r="F2" s="25" t="s">
        <v>6</v>
      </c>
      <c r="G2" s="25"/>
      <c r="H2" s="25" t="s">
        <v>6</v>
      </c>
      <c r="I2" s="25"/>
      <c r="J2" s="25" t="s">
        <v>6</v>
      </c>
      <c r="K2" s="25"/>
      <c r="L2" s="25" t="s">
        <v>6</v>
      </c>
      <c r="M2" s="25"/>
      <c r="N2" s="25" t="s">
        <v>6</v>
      </c>
      <c r="O2" s="25"/>
      <c r="P2" s="25" t="s">
        <v>6</v>
      </c>
    </row>
    <row r="3" spans="1:17">
      <c r="A3" s="25" t="s">
        <v>0</v>
      </c>
      <c r="B3" s="23" t="s">
        <v>7</v>
      </c>
      <c r="C3" s="2"/>
      <c r="D3" s="3">
        <v>2864.63</v>
      </c>
      <c r="E3" s="2"/>
      <c r="F3" s="3">
        <v>2864.63</v>
      </c>
      <c r="G3" s="2"/>
      <c r="H3" s="3">
        <v>2864.63</v>
      </c>
      <c r="I3" s="2"/>
      <c r="J3" s="3">
        <f>'Motorista Exec.'!L7</f>
        <v>3143.7599999999998</v>
      </c>
      <c r="K3" s="2"/>
      <c r="L3" s="3">
        <f>'Motorista Exec.'!L7</f>
        <v>3143.7599999999998</v>
      </c>
      <c r="M3" s="2"/>
      <c r="N3" s="3">
        <v>3143.76</v>
      </c>
      <c r="O3" s="2"/>
      <c r="P3" s="3">
        <f>'Motorista Exec.'!L7</f>
        <v>3143.7599999999998</v>
      </c>
      <c r="Q3" t="s">
        <v>157</v>
      </c>
    </row>
    <row r="4" spans="1:17">
      <c r="A4" s="25" t="s">
        <v>1</v>
      </c>
      <c r="B4" s="23" t="s">
        <v>97</v>
      </c>
      <c r="C4" s="2"/>
      <c r="D4" s="3"/>
      <c r="E4" s="2"/>
      <c r="F4" s="3"/>
      <c r="G4" s="2"/>
      <c r="I4" s="2"/>
      <c r="J4" s="3">
        <f>ROUND((J3/220)*((60/52.5)*5)*20%,2)</f>
        <v>16.329999999999998</v>
      </c>
      <c r="K4" s="2"/>
      <c r="L4" s="3"/>
      <c r="M4" s="2"/>
      <c r="N4" s="3"/>
      <c r="O4" s="2"/>
      <c r="P4" s="3"/>
      <c r="Q4" t="s">
        <v>220</v>
      </c>
    </row>
    <row r="5" spans="1:17">
      <c r="A5" s="25" t="s">
        <v>2</v>
      </c>
      <c r="B5" s="23" t="s">
        <v>234</v>
      </c>
      <c r="C5" s="2"/>
      <c r="D5" s="3"/>
      <c r="E5" s="2"/>
      <c r="F5" s="3">
        <f>1320*20%</f>
        <v>264</v>
      </c>
      <c r="G5" s="2"/>
      <c r="H5" s="3"/>
      <c r="I5" s="2"/>
      <c r="J5" s="3"/>
      <c r="K5" s="2"/>
      <c r="L5" s="3">
        <f>1320*20%</f>
        <v>264</v>
      </c>
      <c r="M5" s="2"/>
      <c r="N5" s="3"/>
      <c r="O5" s="2"/>
      <c r="P5" s="3"/>
      <c r="Q5" t="s">
        <v>232</v>
      </c>
    </row>
    <row r="6" spans="1:17">
      <c r="A6" s="25" t="s">
        <v>3</v>
      </c>
      <c r="B6" s="23" t="s">
        <v>235</v>
      </c>
      <c r="C6" s="2"/>
      <c r="D6" s="3"/>
      <c r="E6" s="2"/>
      <c r="F6" s="3"/>
      <c r="G6" s="2"/>
      <c r="H6" s="3">
        <f>H3*30%</f>
        <v>859.38900000000001</v>
      </c>
      <c r="I6" s="2"/>
      <c r="J6" s="3"/>
      <c r="K6" s="2"/>
      <c r="L6" s="3"/>
      <c r="M6" s="2"/>
      <c r="N6" s="3">
        <f>N3*30%</f>
        <v>943.12800000000004</v>
      </c>
      <c r="O6" s="2"/>
      <c r="P6" s="3">
        <f>P3*30%</f>
        <v>943.12799999999993</v>
      </c>
      <c r="Q6" t="s">
        <v>233</v>
      </c>
    </row>
    <row r="7" spans="1:17">
      <c r="A7" s="126" t="s">
        <v>9</v>
      </c>
      <c r="B7" s="126"/>
      <c r="C7" s="23"/>
      <c r="D7" s="4">
        <f>SUM(D3:D6)</f>
        <v>2864.63</v>
      </c>
      <c r="E7" s="23"/>
      <c r="F7" s="4">
        <f>SUM(F3:F6)</f>
        <v>3128.63</v>
      </c>
      <c r="G7" s="23"/>
      <c r="H7" s="4">
        <f>SUM(H3:H6)</f>
        <v>3724.0190000000002</v>
      </c>
      <c r="I7" s="23"/>
      <c r="J7" s="4">
        <f>SUM(J3:J6)</f>
        <v>3160.0899999999997</v>
      </c>
      <c r="K7" s="23"/>
      <c r="L7" s="4">
        <f>SUM(L3:L6)</f>
        <v>3407.7599999999998</v>
      </c>
      <c r="M7" s="23"/>
      <c r="N7" s="4">
        <f>SUM(N3:N6)</f>
        <v>4086.8880000000004</v>
      </c>
      <c r="O7" s="23"/>
      <c r="P7" s="4">
        <f>SUM(P3:P6)</f>
        <v>4086.8879999999999</v>
      </c>
    </row>
    <row r="9" spans="1:17" ht="15" customHeight="1"/>
    <row r="10" spans="1:17" ht="40" customHeight="1">
      <c r="A10" s="127" t="s">
        <v>10</v>
      </c>
      <c r="B10" s="127"/>
      <c r="C10" s="125" t="str">
        <f>$C$1</f>
        <v>Assistente Administrativo</v>
      </c>
      <c r="D10" s="125"/>
      <c r="E10" s="125" t="str">
        <f>$E$1</f>
        <v>Assistente Administrativo (adicional de insalubridade)</v>
      </c>
      <c r="F10" s="125"/>
      <c r="G10" s="125" t="str">
        <f>$G$1</f>
        <v>Assistente Administrativo (adicional de periculosidade)</v>
      </c>
      <c r="H10" s="125"/>
      <c r="I10" s="125" t="str">
        <f>$I$1</f>
        <v>Motorista Executivo</v>
      </c>
      <c r="J10" s="125"/>
      <c r="K10" s="125" t="str">
        <f>$K$1</f>
        <v>Motorista Pesado (adicional de insalubridade)</v>
      </c>
      <c r="L10" s="125"/>
      <c r="M10" s="125" t="str">
        <f>$M$1</f>
        <v>Motorista Pesado (adicional de periculosidade)</v>
      </c>
      <c r="N10" s="125"/>
      <c r="O10" s="125" t="str">
        <f>$O$1</f>
        <v>Motorista Executivo (adicional de periculosidade)</v>
      </c>
      <c r="P10" s="125"/>
    </row>
    <row r="11" spans="1:17">
      <c r="A11" s="25" t="s">
        <v>11</v>
      </c>
      <c r="B11" s="25" t="s">
        <v>12</v>
      </c>
      <c r="C11" s="25" t="s">
        <v>13</v>
      </c>
      <c r="D11" s="25" t="s">
        <v>6</v>
      </c>
      <c r="E11" s="25" t="s">
        <v>13</v>
      </c>
      <c r="F11" s="25" t="s">
        <v>6</v>
      </c>
      <c r="G11" s="25" t="s">
        <v>13</v>
      </c>
      <c r="H11" s="25" t="s">
        <v>6</v>
      </c>
      <c r="I11" s="25" t="s">
        <v>13</v>
      </c>
      <c r="J11" s="25" t="s">
        <v>6</v>
      </c>
      <c r="K11" s="25" t="s">
        <v>13</v>
      </c>
      <c r="L11" s="25" t="s">
        <v>6</v>
      </c>
      <c r="M11" s="25" t="s">
        <v>13</v>
      </c>
      <c r="N11" s="25" t="s">
        <v>6</v>
      </c>
      <c r="O11" s="25" t="s">
        <v>13</v>
      </c>
      <c r="P11" s="25" t="s">
        <v>6</v>
      </c>
      <c r="Q11" t="s">
        <v>158</v>
      </c>
    </row>
    <row r="12" spans="1:17">
      <c r="A12" s="25" t="s">
        <v>0</v>
      </c>
      <c r="B12" s="23" t="s">
        <v>14</v>
      </c>
      <c r="C12" s="5">
        <f>1/12</f>
        <v>8.3333333333333329E-2</v>
      </c>
      <c r="D12" s="3">
        <f>ROUND(C12*D7,2)</f>
        <v>238.72</v>
      </c>
      <c r="E12" s="5">
        <f>1/12</f>
        <v>8.3333333333333329E-2</v>
      </c>
      <c r="F12" s="3">
        <f>ROUND(E12*F7,2)</f>
        <v>260.72000000000003</v>
      </c>
      <c r="G12" s="5">
        <f>1/12</f>
        <v>8.3333333333333329E-2</v>
      </c>
      <c r="H12" s="3">
        <f>ROUND(G12*H7,2)</f>
        <v>310.33</v>
      </c>
      <c r="I12" s="5">
        <f>1/12</f>
        <v>8.3333333333333329E-2</v>
      </c>
      <c r="J12" s="3">
        <f>ROUND(I12*J7,2)</f>
        <v>263.33999999999997</v>
      </c>
      <c r="K12" s="5">
        <f>1/12</f>
        <v>8.3333333333333329E-2</v>
      </c>
      <c r="L12" s="3">
        <f>ROUND(K12*L7,2)</f>
        <v>283.98</v>
      </c>
      <c r="M12" s="5">
        <f>1/12</f>
        <v>8.3333333333333329E-2</v>
      </c>
      <c r="N12" s="3">
        <f>ROUND(M12*N7,2)</f>
        <v>340.57</v>
      </c>
      <c r="O12" s="5">
        <f>1/12</f>
        <v>8.3333333333333329E-2</v>
      </c>
      <c r="P12" s="3">
        <f>ROUND(O12*P7,2)</f>
        <v>340.57</v>
      </c>
      <c r="Q12" t="s">
        <v>159</v>
      </c>
    </row>
    <row r="13" spans="1:17">
      <c r="A13" s="25" t="s">
        <v>1</v>
      </c>
      <c r="B13" s="23" t="s">
        <v>219</v>
      </c>
      <c r="C13" s="5">
        <f>(1/12)+(1/3/12)</f>
        <v>0.1111111111111111</v>
      </c>
      <c r="D13" s="3">
        <f>ROUND(C13*D7,2)</f>
        <v>318.29000000000002</v>
      </c>
      <c r="E13" s="5">
        <f>(1/12)+(1/3/12)</f>
        <v>0.1111111111111111</v>
      </c>
      <c r="F13" s="3">
        <f>ROUND(E13*F7,2)</f>
        <v>347.63</v>
      </c>
      <c r="G13" s="5">
        <f>(1/12)+(1/3/12)</f>
        <v>0.1111111111111111</v>
      </c>
      <c r="H13" s="3">
        <f>ROUND(G13*H7,2)</f>
        <v>413.78</v>
      </c>
      <c r="I13" s="5">
        <f>(1/12)+(1/3/12)</f>
        <v>0.1111111111111111</v>
      </c>
      <c r="J13" s="3">
        <f>ROUND(I13*J7,2)</f>
        <v>351.12</v>
      </c>
      <c r="K13" s="5">
        <f>(1/12)+(1/3/12)</f>
        <v>0.1111111111111111</v>
      </c>
      <c r="L13" s="3">
        <f>ROUND(K13*L7,2)</f>
        <v>378.64</v>
      </c>
      <c r="M13" s="5">
        <f>(1/12)+(1/3/12)</f>
        <v>0.1111111111111111</v>
      </c>
      <c r="N13" s="3">
        <f>ROUND(M13*N7,2)</f>
        <v>454.1</v>
      </c>
      <c r="O13" s="5">
        <f>(1/12)+(1/3/12)</f>
        <v>0.1111111111111111</v>
      </c>
      <c r="P13" s="3">
        <f>ROUND(O13*P7,2)</f>
        <v>454.1</v>
      </c>
    </row>
    <row r="14" spans="1:17">
      <c r="A14" s="126" t="s">
        <v>9</v>
      </c>
      <c r="B14" s="126"/>
      <c r="C14" s="26">
        <f t="shared" ref="C14:P14" si="0">SUM(C12:C13)</f>
        <v>0.19444444444444442</v>
      </c>
      <c r="D14" s="4">
        <f t="shared" si="0"/>
        <v>557.01</v>
      </c>
      <c r="E14" s="26">
        <f t="shared" ref="E14:F14" si="1">SUM(E12:E13)</f>
        <v>0.19444444444444442</v>
      </c>
      <c r="F14" s="4">
        <f t="shared" si="1"/>
        <v>608.35</v>
      </c>
      <c r="G14" s="26">
        <f t="shared" si="0"/>
        <v>0.19444444444444442</v>
      </c>
      <c r="H14" s="4">
        <f t="shared" si="0"/>
        <v>724.1099999999999</v>
      </c>
      <c r="I14" s="26">
        <f t="shared" si="0"/>
        <v>0.19444444444444442</v>
      </c>
      <c r="J14" s="4">
        <f t="shared" si="0"/>
        <v>614.46</v>
      </c>
      <c r="K14" s="26">
        <f t="shared" si="0"/>
        <v>0.19444444444444442</v>
      </c>
      <c r="L14" s="4">
        <f t="shared" si="0"/>
        <v>662.62</v>
      </c>
      <c r="M14" s="26">
        <f t="shared" ref="M14:N14" si="2">SUM(M12:M13)</f>
        <v>0.19444444444444442</v>
      </c>
      <c r="N14" s="4">
        <f t="shared" si="2"/>
        <v>794.67000000000007</v>
      </c>
      <c r="O14" s="26">
        <f t="shared" si="0"/>
        <v>0.19444444444444442</v>
      </c>
      <c r="P14" s="4">
        <f t="shared" si="0"/>
        <v>794.67000000000007</v>
      </c>
    </row>
    <row r="16" spans="1:17" ht="15" customHeight="1"/>
    <row r="17" spans="1:17" ht="40" customHeight="1">
      <c r="A17" s="125" t="s">
        <v>15</v>
      </c>
      <c r="B17" s="125"/>
      <c r="C17" s="125" t="str">
        <f>$C$1</f>
        <v>Assistente Administrativo</v>
      </c>
      <c r="D17" s="125"/>
      <c r="E17" s="125" t="str">
        <f>$E$1</f>
        <v>Assistente Administrativo (adicional de insalubridade)</v>
      </c>
      <c r="F17" s="125"/>
      <c r="G17" s="125" t="str">
        <f>$G$1</f>
        <v>Assistente Administrativo (adicional de periculosidade)</v>
      </c>
      <c r="H17" s="125"/>
      <c r="I17" s="125" t="str">
        <f>$I$1</f>
        <v>Motorista Executivo</v>
      </c>
      <c r="J17" s="125"/>
      <c r="K17" s="125" t="str">
        <f>$K$1</f>
        <v>Motorista Pesado (adicional de insalubridade)</v>
      </c>
      <c r="L17" s="125"/>
      <c r="M17" s="125" t="str">
        <f>$M$1</f>
        <v>Motorista Pesado (adicional de periculosidade)</v>
      </c>
      <c r="N17" s="125"/>
      <c r="O17" s="125" t="str">
        <f>$O$1</f>
        <v>Motorista Executivo (adicional de periculosidade)</v>
      </c>
      <c r="P17" s="125"/>
    </row>
    <row r="18" spans="1:17">
      <c r="A18" s="25" t="s">
        <v>16</v>
      </c>
      <c r="B18" s="25" t="s">
        <v>17</v>
      </c>
      <c r="C18" s="25" t="s">
        <v>13</v>
      </c>
      <c r="D18" s="25" t="s">
        <v>6</v>
      </c>
      <c r="E18" s="25" t="s">
        <v>13</v>
      </c>
      <c r="F18" s="25" t="s">
        <v>6</v>
      </c>
      <c r="G18" s="25" t="s">
        <v>13</v>
      </c>
      <c r="H18" s="25" t="s">
        <v>6</v>
      </c>
      <c r="I18" s="25" t="s">
        <v>13</v>
      </c>
      <c r="J18" s="25" t="s">
        <v>6</v>
      </c>
      <c r="K18" s="25" t="s">
        <v>13</v>
      </c>
      <c r="L18" s="25" t="s">
        <v>6</v>
      </c>
      <c r="M18" s="25" t="s">
        <v>13</v>
      </c>
      <c r="N18" s="25" t="s">
        <v>6</v>
      </c>
      <c r="O18" s="25" t="s">
        <v>13</v>
      </c>
      <c r="P18" s="25" t="s">
        <v>6</v>
      </c>
      <c r="Q18" t="s">
        <v>160</v>
      </c>
    </row>
    <row r="19" spans="1:17">
      <c r="A19" s="25" t="s">
        <v>0</v>
      </c>
      <c r="B19" s="23" t="s">
        <v>18</v>
      </c>
      <c r="C19" s="6">
        <v>0.2</v>
      </c>
      <c r="D19" s="3">
        <f t="shared" ref="D19:D26" si="3">(C19*($D$14+$D$7))</f>
        <v>684.32800000000009</v>
      </c>
      <c r="E19" s="6">
        <v>0.2</v>
      </c>
      <c r="F19" s="3">
        <f>(E19*($F$14+$F$7))</f>
        <v>747.39600000000007</v>
      </c>
      <c r="G19" s="6">
        <v>0.2</v>
      </c>
      <c r="H19" s="3">
        <f t="shared" ref="H19:H26" si="4">G19*($H$14+$H$7)</f>
        <v>889.62580000000003</v>
      </c>
      <c r="I19" s="6">
        <v>0.2</v>
      </c>
      <c r="J19" s="3">
        <f t="shared" ref="J19:J26" si="5">I19*($J$14+$J$7)</f>
        <v>754.91</v>
      </c>
      <c r="K19" s="6">
        <v>0.2</v>
      </c>
      <c r="L19" s="3">
        <f t="shared" ref="L19:L26" si="6">K19*($L$14+$L$7)</f>
        <v>814.07600000000002</v>
      </c>
      <c r="M19" s="6">
        <v>0.2</v>
      </c>
      <c r="N19" s="3">
        <f t="shared" ref="N19:N26" si="7">M19*($P$14+$P$7)</f>
        <v>976.3116</v>
      </c>
      <c r="O19" s="6">
        <v>0.2</v>
      </c>
      <c r="P19" s="3">
        <f t="shared" ref="P19:P26" si="8">O19*($P$14+$P$7)</f>
        <v>976.3116</v>
      </c>
      <c r="Q19" t="s">
        <v>161</v>
      </c>
    </row>
    <row r="20" spans="1:17">
      <c r="A20" s="25" t="s">
        <v>1</v>
      </c>
      <c r="B20" s="23" t="s">
        <v>19</v>
      </c>
      <c r="C20" s="6">
        <v>2.5000000000000001E-2</v>
      </c>
      <c r="D20" s="3">
        <f t="shared" si="3"/>
        <v>85.541000000000011</v>
      </c>
      <c r="E20" s="6">
        <v>2.5000000000000001E-2</v>
      </c>
      <c r="F20" s="3">
        <f t="shared" ref="F20:F26" si="9">(E20*($F$14+$F$7))</f>
        <v>93.424500000000009</v>
      </c>
      <c r="G20" s="6">
        <v>2.5000000000000001E-2</v>
      </c>
      <c r="H20" s="3">
        <f t="shared" si="4"/>
        <v>111.203225</v>
      </c>
      <c r="I20" s="6">
        <v>2.5000000000000001E-2</v>
      </c>
      <c r="J20" s="3">
        <f t="shared" si="5"/>
        <v>94.363749999999996</v>
      </c>
      <c r="K20" s="6">
        <v>2.5000000000000001E-2</v>
      </c>
      <c r="L20" s="3">
        <f t="shared" si="6"/>
        <v>101.7595</v>
      </c>
      <c r="M20" s="6">
        <v>2.5000000000000001E-2</v>
      </c>
      <c r="N20" s="3">
        <f t="shared" si="7"/>
        <v>122.03895</v>
      </c>
      <c r="O20" s="6">
        <v>2.5000000000000001E-2</v>
      </c>
      <c r="P20" s="3">
        <f t="shared" si="8"/>
        <v>122.03895</v>
      </c>
      <c r="Q20" t="s">
        <v>162</v>
      </c>
    </row>
    <row r="21" spans="1:17">
      <c r="A21" s="25" t="s">
        <v>2</v>
      </c>
      <c r="B21" s="23" t="s">
        <v>20</v>
      </c>
      <c r="C21" s="6">
        <v>0.03</v>
      </c>
      <c r="D21" s="3">
        <f t="shared" si="3"/>
        <v>102.64920000000001</v>
      </c>
      <c r="E21" s="6">
        <v>0.03</v>
      </c>
      <c r="F21" s="3">
        <f t="shared" si="9"/>
        <v>112.10939999999999</v>
      </c>
      <c r="G21" s="6">
        <v>0.03</v>
      </c>
      <c r="H21" s="3">
        <f t="shared" si="4"/>
        <v>133.44387</v>
      </c>
      <c r="I21" s="6">
        <v>0.03</v>
      </c>
      <c r="J21" s="3">
        <f t="shared" si="5"/>
        <v>113.23649999999999</v>
      </c>
      <c r="K21" s="6">
        <v>0.03</v>
      </c>
      <c r="L21" s="3">
        <f t="shared" si="6"/>
        <v>122.11139999999999</v>
      </c>
      <c r="M21" s="6">
        <v>0.03</v>
      </c>
      <c r="N21" s="3">
        <f t="shared" si="7"/>
        <v>146.44674000000001</v>
      </c>
      <c r="O21" s="6">
        <v>0.03</v>
      </c>
      <c r="P21" s="3">
        <f t="shared" si="8"/>
        <v>146.44674000000001</v>
      </c>
      <c r="Q21" t="s">
        <v>163</v>
      </c>
    </row>
    <row r="22" spans="1:17">
      <c r="A22" s="25" t="s">
        <v>3</v>
      </c>
      <c r="B22" s="23" t="s">
        <v>21</v>
      </c>
      <c r="C22" s="6">
        <v>1.4999999999999999E-2</v>
      </c>
      <c r="D22" s="3">
        <f t="shared" si="3"/>
        <v>51.324600000000004</v>
      </c>
      <c r="E22" s="6">
        <v>1.4999999999999999E-2</v>
      </c>
      <c r="F22" s="3">
        <f t="shared" si="9"/>
        <v>56.054699999999997</v>
      </c>
      <c r="G22" s="6">
        <v>1.4999999999999999E-2</v>
      </c>
      <c r="H22" s="3">
        <f t="shared" si="4"/>
        <v>66.721935000000002</v>
      </c>
      <c r="I22" s="6">
        <v>1.4999999999999999E-2</v>
      </c>
      <c r="J22" s="3">
        <f t="shared" si="5"/>
        <v>56.618249999999996</v>
      </c>
      <c r="K22" s="6">
        <v>1.4999999999999999E-2</v>
      </c>
      <c r="L22" s="3">
        <f t="shared" si="6"/>
        <v>61.055699999999995</v>
      </c>
      <c r="M22" s="6">
        <v>1.4999999999999999E-2</v>
      </c>
      <c r="N22" s="3">
        <f t="shared" si="7"/>
        <v>73.223370000000003</v>
      </c>
      <c r="O22" s="6">
        <v>1.4999999999999999E-2</v>
      </c>
      <c r="P22" s="3">
        <f t="shared" si="8"/>
        <v>73.223370000000003</v>
      </c>
      <c r="Q22" t="s">
        <v>164</v>
      </c>
    </row>
    <row r="23" spans="1:17">
      <c r="A23" s="25" t="s">
        <v>22</v>
      </c>
      <c r="B23" s="23" t="s">
        <v>23</v>
      </c>
      <c r="C23" s="6">
        <v>0.01</v>
      </c>
      <c r="D23" s="3">
        <f t="shared" si="3"/>
        <v>34.216400000000007</v>
      </c>
      <c r="E23" s="6">
        <v>0.01</v>
      </c>
      <c r="F23" s="3">
        <f t="shared" si="9"/>
        <v>37.369799999999998</v>
      </c>
      <c r="G23" s="6">
        <v>0.01</v>
      </c>
      <c r="H23" s="3">
        <f t="shared" si="4"/>
        <v>44.481290000000001</v>
      </c>
      <c r="I23" s="6">
        <v>0.01</v>
      </c>
      <c r="J23" s="3">
        <f t="shared" si="5"/>
        <v>37.7455</v>
      </c>
      <c r="K23" s="6">
        <v>0.01</v>
      </c>
      <c r="L23" s="3">
        <f t="shared" si="6"/>
        <v>40.703799999999994</v>
      </c>
      <c r="M23" s="6">
        <v>0.01</v>
      </c>
      <c r="N23" s="3">
        <f t="shared" si="7"/>
        <v>48.815580000000004</v>
      </c>
      <c r="O23" s="6">
        <v>0.01</v>
      </c>
      <c r="P23" s="3">
        <f t="shared" si="8"/>
        <v>48.815580000000004</v>
      </c>
      <c r="Q23" t="s">
        <v>165</v>
      </c>
    </row>
    <row r="24" spans="1:17">
      <c r="A24" s="25" t="s">
        <v>24</v>
      </c>
      <c r="B24" s="23" t="s">
        <v>25</v>
      </c>
      <c r="C24" s="6">
        <v>6.0000000000000001E-3</v>
      </c>
      <c r="D24" s="3">
        <f t="shared" si="3"/>
        <v>20.529840000000004</v>
      </c>
      <c r="E24" s="6">
        <v>6.0000000000000001E-3</v>
      </c>
      <c r="F24" s="3">
        <f t="shared" si="9"/>
        <v>22.421880000000002</v>
      </c>
      <c r="G24" s="6">
        <v>6.0000000000000001E-3</v>
      </c>
      <c r="H24" s="3">
        <f t="shared" si="4"/>
        <v>26.688773999999999</v>
      </c>
      <c r="I24" s="6">
        <v>6.0000000000000001E-3</v>
      </c>
      <c r="J24" s="3">
        <f t="shared" si="5"/>
        <v>22.647299999999998</v>
      </c>
      <c r="K24" s="6">
        <v>6.0000000000000001E-3</v>
      </c>
      <c r="L24" s="3">
        <f t="shared" si="6"/>
        <v>24.422279999999997</v>
      </c>
      <c r="M24" s="6">
        <v>6.0000000000000001E-3</v>
      </c>
      <c r="N24" s="3">
        <f t="shared" si="7"/>
        <v>29.289348</v>
      </c>
      <c r="O24" s="6">
        <v>6.0000000000000001E-3</v>
      </c>
      <c r="P24" s="3">
        <f t="shared" si="8"/>
        <v>29.289348</v>
      </c>
      <c r="Q24" t="s">
        <v>166</v>
      </c>
    </row>
    <row r="25" spans="1:17">
      <c r="A25" s="25" t="s">
        <v>26</v>
      </c>
      <c r="B25" s="23" t="s">
        <v>27</v>
      </c>
      <c r="C25" s="6">
        <v>2E-3</v>
      </c>
      <c r="D25" s="3">
        <f t="shared" si="3"/>
        <v>6.8432800000000009</v>
      </c>
      <c r="E25" s="6">
        <v>2E-3</v>
      </c>
      <c r="F25" s="3">
        <f t="shared" si="9"/>
        <v>7.4739599999999999</v>
      </c>
      <c r="G25" s="6">
        <v>2E-3</v>
      </c>
      <c r="H25" s="3">
        <f t="shared" si="4"/>
        <v>8.8962579999999996</v>
      </c>
      <c r="I25" s="6">
        <v>2E-3</v>
      </c>
      <c r="J25" s="3">
        <f t="shared" si="5"/>
        <v>7.5490999999999993</v>
      </c>
      <c r="K25" s="6">
        <v>2E-3</v>
      </c>
      <c r="L25" s="3">
        <f t="shared" si="6"/>
        <v>8.1407600000000002</v>
      </c>
      <c r="M25" s="6">
        <v>2E-3</v>
      </c>
      <c r="N25" s="3">
        <f t="shared" si="7"/>
        <v>9.7631160000000001</v>
      </c>
      <c r="O25" s="6">
        <v>2E-3</v>
      </c>
      <c r="P25" s="3">
        <f t="shared" si="8"/>
        <v>9.7631160000000001</v>
      </c>
      <c r="Q25" t="s">
        <v>167</v>
      </c>
    </row>
    <row r="26" spans="1:17">
      <c r="A26" s="25" t="s">
        <v>28</v>
      </c>
      <c r="B26" s="23" t="s">
        <v>29</v>
      </c>
      <c r="C26" s="6">
        <v>0.08</v>
      </c>
      <c r="D26" s="3">
        <f t="shared" si="3"/>
        <v>273.73120000000006</v>
      </c>
      <c r="E26" s="6">
        <v>0.08</v>
      </c>
      <c r="F26" s="3">
        <f t="shared" si="9"/>
        <v>298.95839999999998</v>
      </c>
      <c r="G26" s="6">
        <v>0.08</v>
      </c>
      <c r="H26" s="3">
        <f t="shared" si="4"/>
        <v>355.85032000000001</v>
      </c>
      <c r="I26" s="6">
        <v>0.08</v>
      </c>
      <c r="J26" s="3">
        <f t="shared" si="5"/>
        <v>301.964</v>
      </c>
      <c r="K26" s="6">
        <v>0.08</v>
      </c>
      <c r="L26" s="3">
        <f t="shared" si="6"/>
        <v>325.63039999999995</v>
      </c>
      <c r="M26" s="6">
        <v>0.08</v>
      </c>
      <c r="N26" s="3">
        <f t="shared" si="7"/>
        <v>390.52464000000003</v>
      </c>
      <c r="O26" s="6">
        <v>0.08</v>
      </c>
      <c r="P26" s="3">
        <f t="shared" si="8"/>
        <v>390.52464000000003</v>
      </c>
    </row>
    <row r="27" spans="1:17">
      <c r="A27" s="126" t="s">
        <v>9</v>
      </c>
      <c r="B27" s="126"/>
      <c r="C27" s="6">
        <f>SUM(C19:C26)</f>
        <v>0.36800000000000005</v>
      </c>
      <c r="D27" s="4">
        <f>(ROUND(SUM(D19:D26),2))</f>
        <v>1259.1600000000001</v>
      </c>
      <c r="E27" s="6">
        <f>SUM(E19:E26)</f>
        <v>0.36800000000000005</v>
      </c>
      <c r="F27" s="4">
        <f>(ROUND(SUM(F19:F26),2))</f>
        <v>1375.21</v>
      </c>
      <c r="G27" s="6">
        <f>SUM(G19:G26)</f>
        <v>0.36800000000000005</v>
      </c>
      <c r="H27" s="4">
        <f>(ROUND(SUM(H19:H26),2))</f>
        <v>1636.91</v>
      </c>
      <c r="I27" s="6">
        <f>SUM(I19:I26)</f>
        <v>0.36800000000000005</v>
      </c>
      <c r="J27" s="4">
        <f>(ROUND(SUM(J19:J26),2))</f>
        <v>1389.03</v>
      </c>
      <c r="K27" s="6">
        <f>SUM(K19:K26)</f>
        <v>0.36800000000000005</v>
      </c>
      <c r="L27" s="4">
        <f>(ROUND(SUM(L19:L26),2))</f>
        <v>1497.9</v>
      </c>
      <c r="M27" s="6">
        <f>SUM(M19:M26)</f>
        <v>0.36800000000000005</v>
      </c>
      <c r="N27" s="4">
        <f>(ROUND(SUM(N19:N26),2))</f>
        <v>1796.41</v>
      </c>
      <c r="O27" s="6">
        <f>SUM(O19:O26)</f>
        <v>0.36800000000000005</v>
      </c>
      <c r="P27" s="4">
        <f>(ROUND(SUM(P19:P26),2))</f>
        <v>1796.41</v>
      </c>
    </row>
    <row r="29" spans="1:17" ht="15" customHeight="1"/>
    <row r="30" spans="1:17" ht="40" customHeight="1">
      <c r="A30" s="125" t="s">
        <v>30</v>
      </c>
      <c r="B30" s="125"/>
      <c r="C30" s="125" t="str">
        <f>$C$1</f>
        <v>Assistente Administrativo</v>
      </c>
      <c r="D30" s="125"/>
      <c r="E30" s="125" t="str">
        <f>$E$1</f>
        <v>Assistente Administrativo (adicional de insalubridade)</v>
      </c>
      <c r="F30" s="125"/>
      <c r="G30" s="125" t="str">
        <f>$G$1</f>
        <v>Assistente Administrativo (adicional de periculosidade)</v>
      </c>
      <c r="H30" s="125"/>
      <c r="I30" s="125" t="str">
        <f>$I$1</f>
        <v>Motorista Executivo</v>
      </c>
      <c r="J30" s="125"/>
      <c r="K30" s="125" t="str">
        <f>$K$1</f>
        <v>Motorista Pesado (adicional de insalubridade)</v>
      </c>
      <c r="L30" s="125"/>
      <c r="M30" s="125" t="str">
        <f>$M$1</f>
        <v>Motorista Pesado (adicional de periculosidade)</v>
      </c>
      <c r="N30" s="125"/>
      <c r="O30" s="125" t="str">
        <f>$O$1</f>
        <v>Motorista Executivo (adicional de periculosidade)</v>
      </c>
      <c r="P30" s="125"/>
    </row>
    <row r="31" spans="1:17" ht="29">
      <c r="A31" s="25" t="s">
        <v>31</v>
      </c>
      <c r="B31" s="25" t="s">
        <v>32</v>
      </c>
      <c r="C31" s="16" t="s">
        <v>33</v>
      </c>
      <c r="D31" s="25" t="s">
        <v>6</v>
      </c>
      <c r="E31" s="16" t="s">
        <v>33</v>
      </c>
      <c r="F31" s="25" t="s">
        <v>6</v>
      </c>
      <c r="G31" s="16" t="s">
        <v>33</v>
      </c>
      <c r="H31" s="25" t="s">
        <v>6</v>
      </c>
      <c r="I31" s="16" t="s">
        <v>33</v>
      </c>
      <c r="J31" s="25" t="s">
        <v>6</v>
      </c>
      <c r="K31" s="16" t="s">
        <v>33</v>
      </c>
      <c r="L31" s="25" t="s">
        <v>6</v>
      </c>
      <c r="M31" s="16" t="s">
        <v>33</v>
      </c>
      <c r="N31" s="25" t="s">
        <v>6</v>
      </c>
      <c r="O31" s="16" t="s">
        <v>33</v>
      </c>
      <c r="P31" s="25" t="s">
        <v>6</v>
      </c>
      <c r="Q31" t="s">
        <v>168</v>
      </c>
    </row>
    <row r="32" spans="1:17">
      <c r="A32" s="25" t="s">
        <v>0</v>
      </c>
      <c r="B32" s="23" t="s">
        <v>34</v>
      </c>
      <c r="C32" s="27">
        <v>5.5</v>
      </c>
      <c r="D32" s="3">
        <f>ROUND(IF((C32*2*21)-(D3*6%)&gt;=0,(C32*2*21)-(D3*6%),0),2)</f>
        <v>59.12</v>
      </c>
      <c r="E32" s="27">
        <v>5.5</v>
      </c>
      <c r="F32" s="3">
        <f>ROUND(IF((E32*2*21)-(F3*6%)&gt;=0,(E32*2*21)-(F3*6%),0),2)</f>
        <v>59.12</v>
      </c>
      <c r="G32" s="27">
        <v>5.5</v>
      </c>
      <c r="H32" s="3">
        <f>ROUND(IF((G32*2*21)-(H3*6%)&gt;=0,(G32*2*21)-(H3*6%),0),2)</f>
        <v>59.12</v>
      </c>
      <c r="I32" s="27">
        <v>5.5</v>
      </c>
      <c r="J32" s="3">
        <f>ROUND(IF((I32*2*21)-(J3*6%)&gt;=0,(I32*2*21)-(J3*6%),0),2)</f>
        <v>42.37</v>
      </c>
      <c r="K32" s="27">
        <v>5.5</v>
      </c>
      <c r="L32" s="3">
        <f>ROUND(IF((K32*2*21)-(L3*6%)&gt;=0,(K32*2*21)-(L3*6%),0),2)</f>
        <v>42.37</v>
      </c>
      <c r="M32" s="27">
        <v>5.5</v>
      </c>
      <c r="N32" s="3">
        <f>ROUND(IF((M32*2*21)-(N3*6%)&gt;=0,(M32*2*21)-(N3*6%),0),2)</f>
        <v>42.37</v>
      </c>
      <c r="O32" s="27">
        <v>5.5</v>
      </c>
      <c r="P32" s="3">
        <f>ROUND(IF((O32*2*21)-(P3*6%)&gt;=0,(O32*2*21)-(P3*6%),0),2)</f>
        <v>42.37</v>
      </c>
    </row>
    <row r="33" spans="1:17">
      <c r="A33" s="128" t="s">
        <v>1</v>
      </c>
      <c r="B33" s="129" t="s">
        <v>35</v>
      </c>
      <c r="C33" s="10" t="s">
        <v>36</v>
      </c>
      <c r="D33" s="3"/>
      <c r="E33" s="10" t="s">
        <v>36</v>
      </c>
      <c r="F33" s="3"/>
      <c r="G33" s="10" t="s">
        <v>36</v>
      </c>
      <c r="H33" s="3"/>
      <c r="I33" s="10" t="s">
        <v>36</v>
      </c>
      <c r="J33" s="3"/>
      <c r="K33" s="10" t="s">
        <v>36</v>
      </c>
      <c r="L33" s="3"/>
      <c r="M33" s="10" t="s">
        <v>36</v>
      </c>
      <c r="N33" s="3"/>
      <c r="O33" s="10" t="s">
        <v>36</v>
      </c>
      <c r="P33" s="3"/>
      <c r="Q33" t="s">
        <v>169</v>
      </c>
    </row>
    <row r="34" spans="1:17">
      <c r="A34" s="128"/>
      <c r="B34" s="129"/>
      <c r="C34" s="27">
        <v>40.5</v>
      </c>
      <c r="D34" s="3">
        <f>(C34*21)</f>
        <v>850.5</v>
      </c>
      <c r="E34" s="27">
        <v>40.5</v>
      </c>
      <c r="F34" s="3">
        <f>(E34*21)</f>
        <v>850.5</v>
      </c>
      <c r="G34" s="27">
        <v>40.5</v>
      </c>
      <c r="H34" s="3">
        <f>(G34*21)</f>
        <v>850.5</v>
      </c>
      <c r="I34" s="27">
        <v>44.43</v>
      </c>
      <c r="J34" s="3">
        <f>(I34*21)</f>
        <v>933.03</v>
      </c>
      <c r="K34" s="27">
        <v>44.43</v>
      </c>
      <c r="L34" s="3">
        <f>(K34*21)</f>
        <v>933.03</v>
      </c>
      <c r="M34" s="27">
        <v>44.43</v>
      </c>
      <c r="N34" s="3">
        <f>(M34*21)</f>
        <v>933.03</v>
      </c>
      <c r="O34" s="27">
        <v>44.43</v>
      </c>
      <c r="P34" s="3">
        <f>(O34*21)</f>
        <v>933.03</v>
      </c>
    </row>
    <row r="35" spans="1:17">
      <c r="A35" s="25" t="s">
        <v>2</v>
      </c>
      <c r="B35" s="23" t="s">
        <v>8</v>
      </c>
      <c r="C35" s="6"/>
      <c r="D35" s="25"/>
      <c r="E35" s="6"/>
      <c r="F35" s="25"/>
      <c r="G35" s="6"/>
      <c r="H35" s="25"/>
      <c r="I35" s="6"/>
      <c r="J35" s="25"/>
      <c r="K35" s="6"/>
      <c r="L35" s="25"/>
      <c r="M35" s="6"/>
      <c r="N35" s="25"/>
      <c r="O35" s="6"/>
      <c r="P35" s="25"/>
    </row>
    <row r="36" spans="1:17">
      <c r="A36" s="126" t="s">
        <v>9</v>
      </c>
      <c r="B36" s="126"/>
      <c r="C36" s="23"/>
      <c r="D36" s="4">
        <f>ROUND(SUM(D32:D35),2)</f>
        <v>909.62</v>
      </c>
      <c r="E36" s="23"/>
      <c r="F36" s="4">
        <f>ROUND(SUM(F32:F35),2)</f>
        <v>909.62</v>
      </c>
      <c r="G36" s="23"/>
      <c r="H36" s="4">
        <f>ROUND(SUM(H32:H35),2)</f>
        <v>909.62</v>
      </c>
      <c r="I36" s="23"/>
      <c r="J36" s="4">
        <f>ROUND(SUM(J32:J35),2)</f>
        <v>975.4</v>
      </c>
      <c r="K36" s="23"/>
      <c r="L36" s="4">
        <f>ROUND(SUM(L32:L35),2)</f>
        <v>975.4</v>
      </c>
      <c r="M36" s="23"/>
      <c r="N36" s="4">
        <f>ROUND(SUM(N32:N35),2)</f>
        <v>975.4</v>
      </c>
      <c r="O36" s="23"/>
      <c r="P36" s="4">
        <f>ROUND(SUM(P32:P35),2)</f>
        <v>975.4</v>
      </c>
    </row>
    <row r="38" spans="1:17" ht="15" customHeight="1"/>
    <row r="39" spans="1:17" ht="40" customHeight="1">
      <c r="A39" s="125" t="s">
        <v>37</v>
      </c>
      <c r="B39" s="125"/>
      <c r="C39" s="125" t="str">
        <f>$C$1</f>
        <v>Assistente Administrativo</v>
      </c>
      <c r="D39" s="125"/>
      <c r="E39" s="125" t="str">
        <f>$E$1</f>
        <v>Assistente Administrativo (adicional de insalubridade)</v>
      </c>
      <c r="F39" s="125"/>
      <c r="G39" s="125" t="str">
        <f>$G$1</f>
        <v>Assistente Administrativo (adicional de periculosidade)</v>
      </c>
      <c r="H39" s="125"/>
      <c r="I39" s="125" t="str">
        <f>$I$1</f>
        <v>Motorista Executivo</v>
      </c>
      <c r="J39" s="125"/>
      <c r="K39" s="125" t="str">
        <f>$K$1</f>
        <v>Motorista Pesado (adicional de insalubridade)</v>
      </c>
      <c r="L39" s="125"/>
      <c r="M39" s="125" t="str">
        <f>$M$1</f>
        <v>Motorista Pesado (adicional de periculosidade)</v>
      </c>
      <c r="N39" s="125"/>
      <c r="O39" s="125" t="str">
        <f>$O$1</f>
        <v>Motorista Executivo (adicional de periculosidade)</v>
      </c>
      <c r="P39" s="125"/>
    </row>
    <row r="40" spans="1:17">
      <c r="A40" s="25">
        <v>2</v>
      </c>
      <c r="B40" s="25" t="s">
        <v>32</v>
      </c>
      <c r="C40" s="25"/>
      <c r="D40" s="25" t="s">
        <v>6</v>
      </c>
      <c r="E40" s="25"/>
      <c r="F40" s="25" t="s">
        <v>6</v>
      </c>
      <c r="G40" s="25"/>
      <c r="H40" s="25" t="s">
        <v>6</v>
      </c>
      <c r="I40" s="25"/>
      <c r="J40" s="25" t="s">
        <v>6</v>
      </c>
      <c r="K40" s="25"/>
      <c r="L40" s="25" t="s">
        <v>6</v>
      </c>
      <c r="M40" s="25"/>
      <c r="N40" s="25" t="s">
        <v>6</v>
      </c>
      <c r="O40" s="25"/>
      <c r="P40" s="25" t="s">
        <v>6</v>
      </c>
    </row>
    <row r="41" spans="1:17">
      <c r="A41" s="25" t="s">
        <v>11</v>
      </c>
      <c r="B41" s="23" t="s">
        <v>38</v>
      </c>
      <c r="C41" s="6"/>
      <c r="D41" s="3">
        <f>D14</f>
        <v>557.01</v>
      </c>
      <c r="E41" s="6"/>
      <c r="F41" s="3">
        <f>F14</f>
        <v>608.35</v>
      </c>
      <c r="G41" s="7"/>
      <c r="H41" s="3">
        <f>H14</f>
        <v>724.1099999999999</v>
      </c>
      <c r="I41" s="7"/>
      <c r="J41" s="3">
        <f>J14</f>
        <v>614.46</v>
      </c>
      <c r="K41" s="7"/>
      <c r="L41" s="3">
        <f>L14</f>
        <v>662.62</v>
      </c>
      <c r="M41" s="7"/>
      <c r="N41" s="3">
        <f>N14</f>
        <v>794.67000000000007</v>
      </c>
      <c r="O41" s="7"/>
      <c r="P41" s="3">
        <f>P14</f>
        <v>794.67000000000007</v>
      </c>
    </row>
    <row r="42" spans="1:17">
      <c r="A42" s="25" t="s">
        <v>16</v>
      </c>
      <c r="B42" s="23" t="s">
        <v>17</v>
      </c>
      <c r="C42" s="6"/>
      <c r="D42" s="24">
        <f>D27</f>
        <v>1259.1600000000001</v>
      </c>
      <c r="E42" s="6"/>
      <c r="F42" s="24">
        <f>F27</f>
        <v>1375.21</v>
      </c>
      <c r="G42" s="7"/>
      <c r="H42" s="24">
        <f>H27</f>
        <v>1636.91</v>
      </c>
      <c r="I42" s="7"/>
      <c r="J42" s="24">
        <f>J27</f>
        <v>1389.03</v>
      </c>
      <c r="K42" s="7"/>
      <c r="L42" s="24">
        <f>L27</f>
        <v>1497.9</v>
      </c>
      <c r="M42" s="7"/>
      <c r="N42" s="24">
        <f>N27</f>
        <v>1796.41</v>
      </c>
      <c r="O42" s="7"/>
      <c r="P42" s="24">
        <f>P27</f>
        <v>1796.41</v>
      </c>
    </row>
    <row r="43" spans="1:17">
      <c r="A43" s="25" t="s">
        <v>31</v>
      </c>
      <c r="B43" s="23" t="s">
        <v>32</v>
      </c>
      <c r="C43" s="6"/>
      <c r="D43" s="24">
        <f>D36</f>
        <v>909.62</v>
      </c>
      <c r="E43" s="6"/>
      <c r="F43" s="24">
        <f>F36</f>
        <v>909.62</v>
      </c>
      <c r="G43" s="7"/>
      <c r="H43" s="24">
        <f>H36</f>
        <v>909.62</v>
      </c>
      <c r="I43" s="7"/>
      <c r="J43" s="24">
        <f>J36</f>
        <v>975.4</v>
      </c>
      <c r="K43" s="7"/>
      <c r="L43" s="24">
        <f>L36</f>
        <v>975.4</v>
      </c>
      <c r="M43" s="7"/>
      <c r="N43" s="24">
        <f>N36</f>
        <v>975.4</v>
      </c>
      <c r="O43" s="7"/>
      <c r="P43" s="24">
        <f>P36</f>
        <v>975.4</v>
      </c>
    </row>
    <row r="44" spans="1:17">
      <c r="A44" s="126" t="s">
        <v>9</v>
      </c>
      <c r="B44" s="126"/>
      <c r="C44" s="23"/>
      <c r="D44" s="8">
        <f>SUM(D41:D43)</f>
        <v>2725.79</v>
      </c>
      <c r="E44" s="23"/>
      <c r="F44" s="8">
        <f>SUM(F41:F43)</f>
        <v>2893.18</v>
      </c>
      <c r="G44" s="23"/>
      <c r="H44" s="4">
        <f>SUM(H41:H43)</f>
        <v>3270.64</v>
      </c>
      <c r="I44" s="23"/>
      <c r="J44" s="4">
        <f>SUM(J41:J43)</f>
        <v>2978.89</v>
      </c>
      <c r="K44" s="23"/>
      <c r="L44" s="4">
        <f>SUM(L41:L43)</f>
        <v>3135.92</v>
      </c>
      <c r="M44" s="23"/>
      <c r="N44" s="4">
        <f>SUM(N41:N43)</f>
        <v>3566.48</v>
      </c>
      <c r="O44" s="23"/>
      <c r="P44" s="4">
        <f>SUM(P41:P43)</f>
        <v>3566.48</v>
      </c>
    </row>
    <row r="46" spans="1:17" ht="15" customHeight="1"/>
    <row r="47" spans="1:17" ht="40" customHeight="1">
      <c r="A47" s="125" t="s">
        <v>39</v>
      </c>
      <c r="B47" s="125"/>
      <c r="C47" s="125" t="str">
        <f>$C$1</f>
        <v>Assistente Administrativo</v>
      </c>
      <c r="D47" s="125"/>
      <c r="E47" s="125" t="str">
        <f>$E$1</f>
        <v>Assistente Administrativo (adicional de insalubridade)</v>
      </c>
      <c r="F47" s="125"/>
      <c r="G47" s="125" t="str">
        <f>$G$1</f>
        <v>Assistente Administrativo (adicional de periculosidade)</v>
      </c>
      <c r="H47" s="125"/>
      <c r="I47" s="125" t="str">
        <f>$I$1</f>
        <v>Motorista Executivo</v>
      </c>
      <c r="J47" s="125"/>
      <c r="K47" s="125" t="str">
        <f>$K$1</f>
        <v>Motorista Pesado (adicional de insalubridade)</v>
      </c>
      <c r="L47" s="125"/>
      <c r="M47" s="125" t="str">
        <f>$M$1</f>
        <v>Motorista Pesado (adicional de periculosidade)</v>
      </c>
      <c r="N47" s="125"/>
      <c r="O47" s="125" t="str">
        <f>$O$1</f>
        <v>Motorista Executivo (adicional de periculosidade)</v>
      </c>
      <c r="P47" s="125"/>
    </row>
    <row r="48" spans="1:17">
      <c r="A48" s="25">
        <v>3</v>
      </c>
      <c r="B48" s="25" t="s">
        <v>40</v>
      </c>
      <c r="C48" s="25" t="s">
        <v>13</v>
      </c>
      <c r="D48" s="25" t="s">
        <v>6</v>
      </c>
      <c r="E48" s="25" t="s">
        <v>13</v>
      </c>
      <c r="F48" s="25" t="s">
        <v>6</v>
      </c>
      <c r="G48" s="25" t="s">
        <v>13</v>
      </c>
      <c r="H48" s="25" t="s">
        <v>6</v>
      </c>
      <c r="I48" s="25" t="s">
        <v>13</v>
      </c>
      <c r="J48" s="25" t="s">
        <v>6</v>
      </c>
      <c r="K48" s="25" t="s">
        <v>13</v>
      </c>
      <c r="L48" s="25" t="s">
        <v>6</v>
      </c>
      <c r="M48" s="25" t="s">
        <v>13</v>
      </c>
      <c r="N48" s="25" t="s">
        <v>6</v>
      </c>
      <c r="O48" s="25" t="s">
        <v>13</v>
      </c>
      <c r="P48" s="25" t="s">
        <v>6</v>
      </c>
      <c r="Q48" t="s">
        <v>170</v>
      </c>
    </row>
    <row r="49" spans="1:17">
      <c r="A49" s="25" t="s">
        <v>0</v>
      </c>
      <c r="B49" s="23" t="s">
        <v>41</v>
      </c>
      <c r="C49" s="5">
        <f>(1/12*5.55%)</f>
        <v>4.6249999999999998E-3</v>
      </c>
      <c r="D49" s="3">
        <f>ROUND(C49*D7,2)</f>
        <v>13.25</v>
      </c>
      <c r="E49" s="5">
        <f>(1/12*5.55%)</f>
        <v>4.6249999999999998E-3</v>
      </c>
      <c r="F49" s="3">
        <f>ROUND(E49*F7,2)</f>
        <v>14.47</v>
      </c>
      <c r="G49" s="5">
        <f>(1/12*5.55%)</f>
        <v>4.6249999999999998E-3</v>
      </c>
      <c r="H49" s="3">
        <f>ROUND(G49*H7,2)</f>
        <v>17.22</v>
      </c>
      <c r="I49" s="5">
        <f>(1/12*5.55%)</f>
        <v>4.6249999999999998E-3</v>
      </c>
      <c r="J49" s="3">
        <f>ROUND(I49*J7,2)</f>
        <v>14.62</v>
      </c>
      <c r="K49" s="5">
        <f>(1/12*5.55%)</f>
        <v>4.6249999999999998E-3</v>
      </c>
      <c r="L49" s="3">
        <f>ROUND(K49*L7,2)</f>
        <v>15.76</v>
      </c>
      <c r="M49" s="5">
        <f>(1/12*5.55%)</f>
        <v>4.6249999999999998E-3</v>
      </c>
      <c r="N49" s="3">
        <f>ROUND(M49*N7,2)</f>
        <v>18.899999999999999</v>
      </c>
      <c r="O49" s="5">
        <f>(1/12*5.55%)</f>
        <v>4.6249999999999998E-3</v>
      </c>
      <c r="P49" s="3">
        <f>ROUND(O49*P7,2)</f>
        <v>18.899999999999999</v>
      </c>
    </row>
    <row r="50" spans="1:17">
      <c r="A50" s="25" t="s">
        <v>1</v>
      </c>
      <c r="B50" s="23" t="s">
        <v>42</v>
      </c>
      <c r="C50" s="5">
        <v>0.08</v>
      </c>
      <c r="D50" s="3">
        <f>C50*D49</f>
        <v>1.06</v>
      </c>
      <c r="E50" s="5">
        <v>0.08</v>
      </c>
      <c r="F50" s="3">
        <f>E50*F49</f>
        <v>1.1576000000000002</v>
      </c>
      <c r="G50" s="5">
        <v>0.08</v>
      </c>
      <c r="H50" s="3">
        <f>G50*H49</f>
        <v>1.3775999999999999</v>
      </c>
      <c r="I50" s="5">
        <v>0.08</v>
      </c>
      <c r="J50" s="3">
        <f>I50*J49</f>
        <v>1.1696</v>
      </c>
      <c r="K50" s="5">
        <v>0.08</v>
      </c>
      <c r="L50" s="3">
        <f>K50*L49</f>
        <v>1.2607999999999999</v>
      </c>
      <c r="M50" s="5">
        <v>0.08</v>
      </c>
      <c r="N50" s="3">
        <f>M50*N49</f>
        <v>1.512</v>
      </c>
      <c r="O50" s="5">
        <v>0.08</v>
      </c>
      <c r="P50" s="3">
        <f>O50*P49</f>
        <v>1.512</v>
      </c>
      <c r="Q50" t="s">
        <v>171</v>
      </c>
    </row>
    <row r="51" spans="1:17">
      <c r="A51" s="25" t="s">
        <v>2</v>
      </c>
      <c r="B51" s="23" t="s">
        <v>43</v>
      </c>
      <c r="C51" s="5">
        <f>(7/30)/12</f>
        <v>1.9444444444444445E-2</v>
      </c>
      <c r="D51" s="3">
        <f>C51*D7</f>
        <v>55.701138888888892</v>
      </c>
      <c r="E51" s="5">
        <f>(7/30)/12</f>
        <v>1.9444444444444445E-2</v>
      </c>
      <c r="F51" s="3">
        <f>E51*F7</f>
        <v>60.834472222222225</v>
      </c>
      <c r="G51" s="5">
        <f>(7/30)/12</f>
        <v>1.9444444444444445E-2</v>
      </c>
      <c r="H51" s="3">
        <f>G51*H7</f>
        <v>72.411480555555556</v>
      </c>
      <c r="I51" s="5">
        <f>(7/30)/12</f>
        <v>1.9444444444444445E-2</v>
      </c>
      <c r="J51" s="3">
        <f>I51*J7</f>
        <v>61.446194444444437</v>
      </c>
      <c r="K51" s="5">
        <f>(7/30)/12</f>
        <v>1.9444444444444445E-2</v>
      </c>
      <c r="L51" s="3">
        <f>K51*L7</f>
        <v>66.262</v>
      </c>
      <c r="M51" s="5">
        <f>(7/30)/12</f>
        <v>1.9444444444444445E-2</v>
      </c>
      <c r="N51" s="3">
        <f>M51*N7</f>
        <v>79.467266666666674</v>
      </c>
      <c r="O51" s="5">
        <f>(7/30)/12</f>
        <v>1.9444444444444445E-2</v>
      </c>
      <c r="P51" s="3">
        <f>O51*P7</f>
        <v>79.46726666666666</v>
      </c>
    </row>
    <row r="52" spans="1:17">
      <c r="A52" s="28" t="s">
        <v>3</v>
      </c>
      <c r="B52" s="9" t="s">
        <v>44</v>
      </c>
      <c r="C52" s="5">
        <f>C27</f>
        <v>0.36800000000000005</v>
      </c>
      <c r="D52" s="3">
        <f>C52*D51</f>
        <v>20.498019111111116</v>
      </c>
      <c r="E52" s="5">
        <f>E27</f>
        <v>0.36800000000000005</v>
      </c>
      <c r="F52" s="3">
        <f>E52*F51</f>
        <v>22.387085777777781</v>
      </c>
      <c r="G52" s="5">
        <f>G27</f>
        <v>0.36800000000000005</v>
      </c>
      <c r="H52" s="3">
        <f>G52*H51</f>
        <v>26.647424844444448</v>
      </c>
      <c r="I52" s="5">
        <f>I27</f>
        <v>0.36800000000000005</v>
      </c>
      <c r="J52" s="3">
        <f>I52*J51</f>
        <v>22.612199555555556</v>
      </c>
      <c r="K52" s="5">
        <f>K27</f>
        <v>0.36800000000000005</v>
      </c>
      <c r="L52" s="3">
        <f>K52*L51</f>
        <v>24.384416000000005</v>
      </c>
      <c r="M52" s="5">
        <f>M27</f>
        <v>0.36800000000000005</v>
      </c>
      <c r="N52" s="3">
        <f>M52*N51</f>
        <v>29.243954133333339</v>
      </c>
      <c r="O52" s="5">
        <f>O27</f>
        <v>0.36800000000000005</v>
      </c>
      <c r="P52" s="3">
        <f>O52*P51</f>
        <v>29.243954133333336</v>
      </c>
      <c r="Q52" t="s">
        <v>172</v>
      </c>
    </row>
    <row r="53" spans="1:17">
      <c r="A53" s="25" t="s">
        <v>22</v>
      </c>
      <c r="B53" s="23" t="s">
        <v>45</v>
      </c>
      <c r="C53" s="5">
        <v>0.04</v>
      </c>
      <c r="D53" s="3">
        <f>C53*D7</f>
        <v>114.5852</v>
      </c>
      <c r="E53" s="5">
        <v>0.04</v>
      </c>
      <c r="F53" s="3">
        <f>E53*F7</f>
        <v>125.1452</v>
      </c>
      <c r="G53" s="5">
        <v>0.04</v>
      </c>
      <c r="H53" s="3">
        <f>G53*H7</f>
        <v>148.96076000000002</v>
      </c>
      <c r="I53" s="5">
        <v>0.04</v>
      </c>
      <c r="J53" s="3">
        <f>I53*J7</f>
        <v>126.4036</v>
      </c>
      <c r="K53" s="5">
        <v>0.04</v>
      </c>
      <c r="L53" s="3">
        <f>K53*L7</f>
        <v>136.31039999999999</v>
      </c>
      <c r="M53" s="5">
        <v>0.04</v>
      </c>
      <c r="N53" s="3">
        <f>M53*N7</f>
        <v>163.47552000000002</v>
      </c>
      <c r="O53" s="5">
        <v>0.04</v>
      </c>
      <c r="P53" s="3">
        <f>O53*P7</f>
        <v>163.47551999999999</v>
      </c>
    </row>
    <row r="54" spans="1:17">
      <c r="A54" s="126" t="s">
        <v>9</v>
      </c>
      <c r="B54" s="126"/>
      <c r="C54" s="23"/>
      <c r="D54" s="4">
        <f>ROUND(SUM(D49:D53),2)</f>
        <v>205.09</v>
      </c>
      <c r="E54" s="23"/>
      <c r="F54" s="4">
        <f>ROUND(SUM(F49:F53),2)</f>
        <v>223.99</v>
      </c>
      <c r="G54" s="23"/>
      <c r="H54" s="4">
        <f>ROUND(SUM(H49:H53),2)</f>
        <v>266.62</v>
      </c>
      <c r="I54" s="23"/>
      <c r="J54" s="4">
        <f>ROUND(SUM(J49:J53),2)</f>
        <v>226.25</v>
      </c>
      <c r="K54" s="23"/>
      <c r="L54" s="4">
        <f>ROUND(SUM(L49:L53),2)</f>
        <v>243.98</v>
      </c>
      <c r="M54" s="23"/>
      <c r="N54" s="4">
        <f>ROUND(SUM(N49:N53),2)</f>
        <v>292.60000000000002</v>
      </c>
      <c r="O54" s="23"/>
      <c r="P54" s="4">
        <f>ROUND(SUM(P49:P53),2)</f>
        <v>292.60000000000002</v>
      </c>
    </row>
    <row r="56" spans="1:17" ht="15" customHeight="1"/>
    <row r="57" spans="1:17" ht="40" customHeight="1">
      <c r="A57" s="125" t="s">
        <v>99</v>
      </c>
      <c r="B57" s="125"/>
      <c r="C57" s="125" t="str">
        <f>$C$1</f>
        <v>Assistente Administrativo</v>
      </c>
      <c r="D57" s="125"/>
      <c r="E57" s="125" t="str">
        <f>$E$1</f>
        <v>Assistente Administrativo (adicional de insalubridade)</v>
      </c>
      <c r="F57" s="125"/>
      <c r="G57" s="125" t="str">
        <f>$G$1</f>
        <v>Assistente Administrativo (adicional de periculosidade)</v>
      </c>
      <c r="H57" s="125"/>
      <c r="I57" s="125" t="str">
        <f>$I$1</f>
        <v>Motorista Executivo</v>
      </c>
      <c r="J57" s="125"/>
      <c r="K57" s="125" t="str">
        <f>$K$1</f>
        <v>Motorista Pesado (adicional de insalubridade)</v>
      </c>
      <c r="L57" s="125"/>
      <c r="M57" s="125" t="str">
        <f>$M$1</f>
        <v>Motorista Pesado (adicional de periculosidade)</v>
      </c>
      <c r="N57" s="125"/>
      <c r="O57" s="125" t="str">
        <f>$O$1</f>
        <v>Motorista Executivo (adicional de periculosidade)</v>
      </c>
      <c r="P57" s="125"/>
    </row>
    <row r="58" spans="1:17">
      <c r="A58" s="25" t="s">
        <v>46</v>
      </c>
      <c r="B58" s="25" t="s">
        <v>100</v>
      </c>
      <c r="C58" s="25" t="s">
        <v>13</v>
      </c>
      <c r="D58" s="25" t="s">
        <v>6</v>
      </c>
      <c r="E58" s="25" t="s">
        <v>13</v>
      </c>
      <c r="F58" s="25" t="s">
        <v>6</v>
      </c>
      <c r="G58" s="25" t="s">
        <v>13</v>
      </c>
      <c r="H58" s="25" t="s">
        <v>6</v>
      </c>
      <c r="I58" s="25" t="s">
        <v>13</v>
      </c>
      <c r="J58" s="25" t="s">
        <v>6</v>
      </c>
      <c r="K58" s="25" t="s">
        <v>13</v>
      </c>
      <c r="L58" s="25" t="s">
        <v>6</v>
      </c>
      <c r="M58" s="25" t="s">
        <v>13</v>
      </c>
      <c r="N58" s="25" t="s">
        <v>6</v>
      </c>
      <c r="O58" s="25" t="s">
        <v>13</v>
      </c>
      <c r="P58" s="25" t="s">
        <v>6</v>
      </c>
      <c r="Q58" t="s">
        <v>173</v>
      </c>
    </row>
    <row r="59" spans="1:17">
      <c r="A59" s="25" t="s">
        <v>0</v>
      </c>
      <c r="B59" s="23" t="s">
        <v>47</v>
      </c>
      <c r="C59" s="5">
        <f>12.1%-C13</f>
        <v>9.8888888888888915E-3</v>
      </c>
      <c r="D59" s="3">
        <f t="shared" ref="D59:D64" si="10">C59*($D$7+$D$41+$D$42+$D$54)</f>
        <v>48.316023333333348</v>
      </c>
      <c r="E59" s="5">
        <f>12.1%-E13</f>
        <v>9.8888888888888915E-3</v>
      </c>
      <c r="F59" s="3">
        <f>E59*($F$7+$F$41+$F$42+$F$54)</f>
        <v>52.768891111111131</v>
      </c>
      <c r="G59" s="5">
        <f>12.1%-G13</f>
        <v>9.8888888888888915E-3</v>
      </c>
      <c r="H59" s="3">
        <f t="shared" ref="H59:H64" si="11">G59*($H$7+$H$41+$H$42+$H$54)</f>
        <v>62.810850111111122</v>
      </c>
      <c r="I59" s="5">
        <f>12.1%-I13</f>
        <v>9.8888888888888915E-3</v>
      </c>
      <c r="J59" s="3">
        <f t="shared" ref="J59:J64" si="12">I59*($J$7+$J$41+$J$42+$J$54)</f>
        <v>53.299430000000015</v>
      </c>
      <c r="K59" s="5">
        <f>12.1%-K13</f>
        <v>9.8888888888888915E-3</v>
      </c>
      <c r="L59" s="3">
        <f t="shared" ref="L59:L64" si="13">K59*($L$7+$L$41+$L$42+$L$54)</f>
        <v>57.47679333333334</v>
      </c>
      <c r="M59" s="5">
        <f>12.1%-M13</f>
        <v>9.8888888888888915E-3</v>
      </c>
      <c r="N59" s="3">
        <f t="shared" ref="N59:N64" si="14">M59*($P$7+$P$41+$P$42+$P$54)</f>
        <v>68.931172444444471</v>
      </c>
      <c r="O59" s="5">
        <f>12.1%-O13</f>
        <v>9.8888888888888915E-3</v>
      </c>
      <c r="P59" s="3">
        <f t="shared" ref="P59:P64" si="15">O59*($P$7+$P$41+$P$42+$P$54)</f>
        <v>68.931172444444471</v>
      </c>
      <c r="Q59" t="s">
        <v>174</v>
      </c>
    </row>
    <row r="60" spans="1:17">
      <c r="A60" s="25" t="s">
        <v>1</v>
      </c>
      <c r="B60" s="23" t="s">
        <v>48</v>
      </c>
      <c r="C60" s="5">
        <f>(5.96/30)/12</f>
        <v>1.6555555555555556E-2</v>
      </c>
      <c r="D60" s="3">
        <f t="shared" si="10"/>
        <v>80.888623333333342</v>
      </c>
      <c r="E60" s="5">
        <f>(5.96/30)/12</f>
        <v>1.6555555555555556E-2</v>
      </c>
      <c r="F60" s="3">
        <f t="shared" ref="F60:F64" si="16">E60*($F$7+$F$41+$F$42+$F$54)</f>
        <v>88.343424444444452</v>
      </c>
      <c r="G60" s="5">
        <f>(5.96/30)/12</f>
        <v>1.6555555555555556E-2</v>
      </c>
      <c r="H60" s="3">
        <f t="shared" si="11"/>
        <v>105.15524344444444</v>
      </c>
      <c r="I60" s="5">
        <f>(5.96/30)/12</f>
        <v>1.6555555555555556E-2</v>
      </c>
      <c r="J60" s="3">
        <f t="shared" si="12"/>
        <v>89.231629999999996</v>
      </c>
      <c r="K60" s="5">
        <f>(5.96/30)/12</f>
        <v>1.6555555555555556E-2</v>
      </c>
      <c r="L60" s="3">
        <f t="shared" si="13"/>
        <v>96.225193333333323</v>
      </c>
      <c r="M60" s="5">
        <f>(5.96/30)/12</f>
        <v>1.6555555555555556E-2</v>
      </c>
      <c r="N60" s="3">
        <f t="shared" si="14"/>
        <v>115.40162577777778</v>
      </c>
      <c r="O60" s="5">
        <f>(5.96/30)/12</f>
        <v>1.6555555555555556E-2</v>
      </c>
      <c r="P60" s="3">
        <f t="shared" si="15"/>
        <v>115.40162577777778</v>
      </c>
      <c r="Q60" t="s">
        <v>175</v>
      </c>
    </row>
    <row r="61" spans="1:17" ht="15" customHeight="1">
      <c r="A61" s="25" t="s">
        <v>2</v>
      </c>
      <c r="B61" s="23" t="s">
        <v>49</v>
      </c>
      <c r="C61" s="5">
        <f>((5/30)/12)*0.015</f>
        <v>2.0833333333333332E-4</v>
      </c>
      <c r="D61" s="3">
        <f t="shared" si="10"/>
        <v>1.01789375</v>
      </c>
      <c r="E61" s="5">
        <f>((5/30)/12)*0.015</f>
        <v>2.0833333333333332E-4</v>
      </c>
      <c r="F61" s="3">
        <f t="shared" si="16"/>
        <v>1.1117041666666667</v>
      </c>
      <c r="G61" s="5">
        <f>((5/30)/12)*0.015</f>
        <v>2.0833333333333332E-4</v>
      </c>
      <c r="H61" s="3">
        <f t="shared" si="11"/>
        <v>1.3232622916666665</v>
      </c>
      <c r="I61" s="5">
        <f>((5/30)/12)*0.015</f>
        <v>2.0833333333333332E-4</v>
      </c>
      <c r="J61" s="3">
        <f t="shared" si="12"/>
        <v>1.1228812499999998</v>
      </c>
      <c r="K61" s="5">
        <f>((5/30)/12)*0.015</f>
        <v>2.0833333333333332E-4</v>
      </c>
      <c r="L61" s="3">
        <f t="shared" si="13"/>
        <v>1.2108874999999997</v>
      </c>
      <c r="M61" s="5">
        <f>((5/30)/12)*0.015</f>
        <v>2.0833333333333332E-4</v>
      </c>
      <c r="N61" s="3">
        <f t="shared" si="14"/>
        <v>1.4522016666666666</v>
      </c>
      <c r="O61" s="5">
        <f>((5/30)/12)*0.015</f>
        <v>2.0833333333333332E-4</v>
      </c>
      <c r="P61" s="3">
        <f t="shared" si="15"/>
        <v>1.4522016666666666</v>
      </c>
      <c r="Q61" t="s">
        <v>156</v>
      </c>
    </row>
    <row r="62" spans="1:17" ht="15" customHeight="1">
      <c r="A62" s="28" t="s">
        <v>3</v>
      </c>
      <c r="B62" s="9" t="s">
        <v>50</v>
      </c>
      <c r="C62" s="5">
        <f>(15/360)*0.44%</f>
        <v>1.8333333333333334E-4</v>
      </c>
      <c r="D62" s="3">
        <f t="shared" si="10"/>
        <v>0.89574650000000011</v>
      </c>
      <c r="E62" s="5">
        <f>(15/360)*0.44%</f>
        <v>1.8333333333333334E-4</v>
      </c>
      <c r="F62" s="3">
        <f t="shared" si="16"/>
        <v>0.97829966666666668</v>
      </c>
      <c r="G62" s="5">
        <f>(15/360)*0.44%</f>
        <v>1.8333333333333334E-4</v>
      </c>
      <c r="H62" s="3">
        <f t="shared" si="11"/>
        <v>1.1644708166666666</v>
      </c>
      <c r="I62" s="5">
        <f>(15/360)*0.44%</f>
        <v>1.8333333333333334E-4</v>
      </c>
      <c r="J62" s="3">
        <f t="shared" si="12"/>
        <v>0.98813549999999994</v>
      </c>
      <c r="K62" s="5">
        <f>(15/360)*0.44%</f>
        <v>1.8333333333333334E-4</v>
      </c>
      <c r="L62" s="3">
        <f t="shared" si="13"/>
        <v>1.0655809999999999</v>
      </c>
      <c r="M62" s="5">
        <f>(15/360)*0.44%</f>
        <v>1.8333333333333334E-4</v>
      </c>
      <c r="N62" s="3">
        <f t="shared" si="14"/>
        <v>1.2779374666666667</v>
      </c>
      <c r="O62" s="5">
        <f>(15/360)*0.44%</f>
        <v>1.8333333333333334E-4</v>
      </c>
      <c r="P62" s="3">
        <f t="shared" si="15"/>
        <v>1.2779374666666667</v>
      </c>
      <c r="Q62" t="s">
        <v>176</v>
      </c>
    </row>
    <row r="63" spans="1:17">
      <c r="A63" s="28" t="s">
        <v>22</v>
      </c>
      <c r="B63" s="9" t="s">
        <v>51</v>
      </c>
      <c r="C63" s="5">
        <f>50%*(4/12)*1.5%*(8.33%+11.11%)</f>
        <v>4.8599999999999989E-4</v>
      </c>
      <c r="D63" s="3">
        <f t="shared" si="10"/>
        <v>2.3745425399999998</v>
      </c>
      <c r="E63" s="5">
        <f>50%*(4/12)*1.5%*(8.33%+11.11%)</f>
        <v>4.8599999999999989E-4</v>
      </c>
      <c r="F63" s="3">
        <f t="shared" si="16"/>
        <v>2.5933834799999995</v>
      </c>
      <c r="G63" s="5">
        <f>50%*(4/12)*1.5%*(8.33%+11.11%)</f>
        <v>4.8599999999999989E-4</v>
      </c>
      <c r="H63" s="3">
        <f t="shared" si="11"/>
        <v>3.0869062739999991</v>
      </c>
      <c r="I63" s="5">
        <f>50%*(4/12)*1.5%*(8.33%+11.11%)</f>
        <v>4.8599999999999989E-4</v>
      </c>
      <c r="J63" s="3">
        <f t="shared" si="12"/>
        <v>2.6194573799999992</v>
      </c>
      <c r="K63" s="5">
        <f>50%*(4/12)*1.5%*(8.33%+11.11%)</f>
        <v>4.8599999999999989E-4</v>
      </c>
      <c r="L63" s="3">
        <f t="shared" si="13"/>
        <v>2.8247583599999988</v>
      </c>
      <c r="M63" s="5">
        <f>50%*(4/12)*1.5%*(8.33%+11.11%)</f>
        <v>4.8599999999999989E-4</v>
      </c>
      <c r="N63" s="3">
        <f t="shared" si="14"/>
        <v>3.3876960479999991</v>
      </c>
      <c r="O63" s="5">
        <f>50%*(4/12)*1.5%*(8.33%+11.11%)</f>
        <v>4.8599999999999989E-4</v>
      </c>
      <c r="P63" s="3">
        <f t="shared" si="15"/>
        <v>3.3876960479999991</v>
      </c>
    </row>
    <row r="64" spans="1:17">
      <c r="A64" s="25" t="s">
        <v>24</v>
      </c>
      <c r="B64" s="23" t="s">
        <v>52</v>
      </c>
      <c r="C64" s="6"/>
      <c r="D64" s="3">
        <f t="shared" si="10"/>
        <v>0</v>
      </c>
      <c r="E64" s="6"/>
      <c r="F64" s="3">
        <f t="shared" si="16"/>
        <v>0</v>
      </c>
      <c r="G64" s="6"/>
      <c r="H64" s="3">
        <f t="shared" si="11"/>
        <v>0</v>
      </c>
      <c r="I64" s="6"/>
      <c r="J64" s="3">
        <f t="shared" si="12"/>
        <v>0</v>
      </c>
      <c r="K64" s="6"/>
      <c r="L64" s="3">
        <f t="shared" si="13"/>
        <v>0</v>
      </c>
      <c r="M64" s="6"/>
      <c r="N64" s="3">
        <f t="shared" si="14"/>
        <v>0</v>
      </c>
      <c r="O64" s="6"/>
      <c r="P64" s="3">
        <f t="shared" si="15"/>
        <v>0</v>
      </c>
    </row>
    <row r="65" spans="1:16">
      <c r="A65" s="126" t="s">
        <v>9</v>
      </c>
      <c r="B65" s="126"/>
      <c r="C65" s="23"/>
      <c r="D65" s="4">
        <f>ROUND(SUM(D59:D64),2)</f>
        <v>133.49</v>
      </c>
      <c r="E65" s="23"/>
      <c r="F65" s="4">
        <f>ROUND(SUM(F59:F64),2)</f>
        <v>145.80000000000001</v>
      </c>
      <c r="G65" s="23"/>
      <c r="H65" s="4">
        <f>ROUND(SUM(H59:H64),2)</f>
        <v>173.54</v>
      </c>
      <c r="I65" s="23"/>
      <c r="J65" s="4">
        <f>ROUND(SUM(J59:J64),2)</f>
        <v>147.26</v>
      </c>
      <c r="K65" s="23"/>
      <c r="L65" s="4">
        <f>ROUND(SUM(L59:L64),2)</f>
        <v>158.80000000000001</v>
      </c>
      <c r="M65" s="23"/>
      <c r="N65" s="4">
        <f>ROUND(SUM(N59:N64),2)</f>
        <v>190.45</v>
      </c>
      <c r="O65" s="23"/>
      <c r="P65" s="4">
        <f>ROUND(SUM(P59:P64),2)</f>
        <v>190.45</v>
      </c>
    </row>
    <row r="67" spans="1:16" ht="15" customHeight="1"/>
    <row r="68" spans="1:16" ht="40" customHeight="1">
      <c r="A68" s="125" t="s">
        <v>53</v>
      </c>
      <c r="B68" s="125"/>
      <c r="C68" s="125" t="str">
        <f>$C$1</f>
        <v>Assistente Administrativo</v>
      </c>
      <c r="D68" s="125"/>
      <c r="E68" s="125" t="str">
        <f>$E$1</f>
        <v>Assistente Administrativo (adicional de insalubridade)</v>
      </c>
      <c r="F68" s="125"/>
      <c r="G68" s="125" t="str">
        <f>$G$1</f>
        <v>Assistente Administrativo (adicional de periculosidade)</v>
      </c>
      <c r="H68" s="125"/>
      <c r="I68" s="125" t="str">
        <f>$I$1</f>
        <v>Motorista Executivo</v>
      </c>
      <c r="J68" s="125"/>
      <c r="K68" s="125" t="str">
        <f>$K$1</f>
        <v>Motorista Pesado (adicional de insalubridade)</v>
      </c>
      <c r="L68" s="125"/>
      <c r="M68" s="125" t="str">
        <f>$M$1</f>
        <v>Motorista Pesado (adicional de periculosidade)</v>
      </c>
      <c r="N68" s="125"/>
      <c r="O68" s="125" t="str">
        <f>$O$1</f>
        <v>Motorista Executivo (adicional de periculosidade)</v>
      </c>
      <c r="P68" s="125"/>
    </row>
    <row r="69" spans="1:16">
      <c r="A69" s="25" t="s">
        <v>54</v>
      </c>
      <c r="B69" s="25" t="s">
        <v>58</v>
      </c>
      <c r="C69" s="25"/>
      <c r="D69" s="25" t="s">
        <v>6</v>
      </c>
      <c r="E69" s="25"/>
      <c r="F69" s="25" t="s">
        <v>6</v>
      </c>
      <c r="G69" s="25"/>
      <c r="H69" s="25" t="s">
        <v>6</v>
      </c>
      <c r="I69" s="25"/>
      <c r="J69" s="25" t="s">
        <v>6</v>
      </c>
      <c r="K69" s="25"/>
      <c r="L69" s="25" t="s">
        <v>6</v>
      </c>
      <c r="M69" s="25"/>
      <c r="N69" s="25" t="s">
        <v>6</v>
      </c>
      <c r="O69" s="25"/>
      <c r="P69" s="25" t="s">
        <v>6</v>
      </c>
    </row>
    <row r="70" spans="1:16" ht="29">
      <c r="A70" s="25" t="s">
        <v>0</v>
      </c>
      <c r="B70" s="9" t="s">
        <v>55</v>
      </c>
      <c r="C70" s="10"/>
      <c r="D70" s="3">
        <v>0</v>
      </c>
      <c r="E70" s="10"/>
      <c r="F70" s="3">
        <v>0</v>
      </c>
      <c r="G70" s="7"/>
      <c r="H70" s="3">
        <v>0</v>
      </c>
      <c r="I70" s="7"/>
      <c r="J70" s="3">
        <v>0</v>
      </c>
      <c r="K70" s="7"/>
      <c r="L70" s="3">
        <v>0</v>
      </c>
      <c r="M70" s="7"/>
      <c r="N70" s="3">
        <v>0</v>
      </c>
      <c r="O70" s="7"/>
      <c r="P70" s="3">
        <v>0</v>
      </c>
    </row>
    <row r="71" spans="1:16">
      <c r="A71" s="126" t="s">
        <v>9</v>
      </c>
      <c r="B71" s="126"/>
      <c r="C71" s="23"/>
      <c r="D71" s="4">
        <f>SUM(D70:D70)</f>
        <v>0</v>
      </c>
      <c r="E71" s="23"/>
      <c r="F71" s="4">
        <f>SUM(F70:F70)</f>
        <v>0</v>
      </c>
      <c r="G71" s="23"/>
      <c r="H71" s="4">
        <f>SUM(H70:H70)</f>
        <v>0</v>
      </c>
      <c r="I71" s="23"/>
      <c r="J71" s="4">
        <f>SUM(J70:J70)</f>
        <v>0</v>
      </c>
      <c r="K71" s="23"/>
      <c r="L71" s="4">
        <f>SUM(L70:L70)</f>
        <v>0</v>
      </c>
      <c r="M71" s="23"/>
      <c r="N71" s="4">
        <f>SUM(N70:N70)</f>
        <v>0</v>
      </c>
      <c r="O71" s="23"/>
      <c r="P71" s="4">
        <f>SUM(P70:P70)</f>
        <v>0</v>
      </c>
    </row>
    <row r="73" spans="1:16" ht="15" customHeight="1"/>
    <row r="74" spans="1:16" ht="41" customHeight="1">
      <c r="A74" s="125" t="s">
        <v>56</v>
      </c>
      <c r="B74" s="125"/>
      <c r="C74" s="125" t="str">
        <f>$C$1</f>
        <v>Assistente Administrativo</v>
      </c>
      <c r="D74" s="125"/>
      <c r="E74" s="125" t="str">
        <f>$E$1</f>
        <v>Assistente Administrativo (adicional de insalubridade)</v>
      </c>
      <c r="F74" s="125"/>
      <c r="G74" s="125" t="str">
        <f>$G$1</f>
        <v>Assistente Administrativo (adicional de periculosidade)</v>
      </c>
      <c r="H74" s="125"/>
      <c r="I74" s="125" t="str">
        <f>$I$1</f>
        <v>Motorista Executivo</v>
      </c>
      <c r="J74" s="125"/>
      <c r="K74" s="125" t="str">
        <f>$K$1</f>
        <v>Motorista Pesado (adicional de insalubridade)</v>
      </c>
      <c r="L74" s="125"/>
      <c r="M74" s="125" t="str">
        <f>$M$1</f>
        <v>Motorista Pesado (adicional de periculosidade)</v>
      </c>
      <c r="N74" s="125"/>
      <c r="O74" s="125" t="str">
        <f>$O$1</f>
        <v>Motorista Executivo (adicional de periculosidade)</v>
      </c>
      <c r="P74" s="125"/>
    </row>
    <row r="75" spans="1:16">
      <c r="A75" s="25">
        <v>4</v>
      </c>
      <c r="B75" s="25" t="s">
        <v>101</v>
      </c>
      <c r="C75" s="25"/>
      <c r="D75" s="25" t="s">
        <v>6</v>
      </c>
      <c r="E75" s="25"/>
      <c r="F75" s="25" t="s">
        <v>6</v>
      </c>
      <c r="G75" s="25"/>
      <c r="H75" s="25" t="s">
        <v>6</v>
      </c>
      <c r="I75" s="25"/>
      <c r="J75" s="25" t="s">
        <v>6</v>
      </c>
      <c r="K75" s="25"/>
      <c r="L75" s="25" t="s">
        <v>6</v>
      </c>
      <c r="M75" s="25"/>
      <c r="N75" s="25" t="s">
        <v>6</v>
      </c>
      <c r="O75" s="25"/>
      <c r="P75" s="25" t="s">
        <v>6</v>
      </c>
    </row>
    <row r="76" spans="1:16">
      <c r="A76" s="25" t="s">
        <v>46</v>
      </c>
      <c r="B76" s="23" t="s">
        <v>57</v>
      </c>
      <c r="C76" s="6"/>
      <c r="D76" s="24">
        <f>D65</f>
        <v>133.49</v>
      </c>
      <c r="E76" s="6"/>
      <c r="F76" s="24">
        <f>F65</f>
        <v>145.80000000000001</v>
      </c>
      <c r="G76" s="7"/>
      <c r="H76" s="24">
        <f>H65</f>
        <v>173.54</v>
      </c>
      <c r="I76" s="7"/>
      <c r="J76" s="24">
        <f>J65</f>
        <v>147.26</v>
      </c>
      <c r="K76" s="7"/>
      <c r="L76" s="24">
        <f>L65</f>
        <v>158.80000000000001</v>
      </c>
      <c r="M76" s="7"/>
      <c r="N76" s="24">
        <f>N65</f>
        <v>190.45</v>
      </c>
      <c r="O76" s="7"/>
      <c r="P76" s="24">
        <f>P65</f>
        <v>190.45</v>
      </c>
    </row>
    <row r="77" spans="1:16">
      <c r="A77" s="25" t="s">
        <v>54</v>
      </c>
      <c r="B77" s="23" t="s">
        <v>58</v>
      </c>
      <c r="C77" s="6"/>
      <c r="D77" s="24">
        <f>D71</f>
        <v>0</v>
      </c>
      <c r="E77" s="6"/>
      <c r="F77" s="24">
        <f>F71</f>
        <v>0</v>
      </c>
      <c r="G77" s="7"/>
      <c r="H77" s="24">
        <f>H71</f>
        <v>0</v>
      </c>
      <c r="I77" s="7"/>
      <c r="J77" s="24">
        <f>J71</f>
        <v>0</v>
      </c>
      <c r="K77" s="7"/>
      <c r="L77" s="24">
        <f>L71</f>
        <v>0</v>
      </c>
      <c r="M77" s="7"/>
      <c r="N77" s="24">
        <f>N71</f>
        <v>0</v>
      </c>
      <c r="O77" s="7"/>
      <c r="P77" s="24">
        <f>P71</f>
        <v>0</v>
      </c>
    </row>
    <row r="78" spans="1:16">
      <c r="A78" s="126" t="s">
        <v>9</v>
      </c>
      <c r="B78" s="126"/>
      <c r="C78" s="23"/>
      <c r="D78" s="4">
        <f>ROUND(SUM(D76:D77),2)</f>
        <v>133.49</v>
      </c>
      <c r="E78" s="23"/>
      <c r="F78" s="4">
        <f>ROUND(SUM(F76:F77),2)</f>
        <v>145.80000000000001</v>
      </c>
      <c r="G78" s="23"/>
      <c r="H78" s="4">
        <f>ROUND(SUM(H76:H77),2)</f>
        <v>173.54</v>
      </c>
      <c r="I78" s="23"/>
      <c r="J78" s="4">
        <f>ROUND(SUM(J76:J77),2)</f>
        <v>147.26</v>
      </c>
      <c r="K78" s="23"/>
      <c r="L78" s="4">
        <f>ROUND(SUM(L76:L77),2)</f>
        <v>158.80000000000001</v>
      </c>
      <c r="M78" s="23"/>
      <c r="N78" s="4">
        <f>ROUND(SUM(N76:N77),2)</f>
        <v>190.45</v>
      </c>
      <c r="O78" s="23"/>
      <c r="P78" s="4">
        <f>ROUND(SUM(P76:P77),2)</f>
        <v>190.45</v>
      </c>
    </row>
    <row r="80" spans="1:16" ht="15" customHeight="1"/>
    <row r="81" spans="1:17" ht="40" customHeight="1">
      <c r="A81" s="125" t="s">
        <v>59</v>
      </c>
      <c r="B81" s="125"/>
      <c r="C81" s="125" t="str">
        <f>$C$1</f>
        <v>Assistente Administrativo</v>
      </c>
      <c r="D81" s="125"/>
      <c r="E81" s="125" t="str">
        <f>$E$1</f>
        <v>Assistente Administrativo (adicional de insalubridade)</v>
      </c>
      <c r="F81" s="125"/>
      <c r="G81" s="125" t="str">
        <f>$G$1</f>
        <v>Assistente Administrativo (adicional de periculosidade)</v>
      </c>
      <c r="H81" s="125"/>
      <c r="I81" s="125" t="str">
        <f>$I$1</f>
        <v>Motorista Executivo</v>
      </c>
      <c r="J81" s="125"/>
      <c r="K81" s="125" t="str">
        <f>$K$1</f>
        <v>Motorista Pesado (adicional de insalubridade)</v>
      </c>
      <c r="L81" s="125"/>
      <c r="M81" s="125" t="str">
        <f>$M$1</f>
        <v>Motorista Pesado (adicional de periculosidade)</v>
      </c>
      <c r="N81" s="125"/>
      <c r="O81" s="125" t="str">
        <f>$O$1</f>
        <v>Motorista Executivo (adicional de periculosidade)</v>
      </c>
      <c r="P81" s="125"/>
    </row>
    <row r="82" spans="1:17">
      <c r="A82" s="25">
        <v>5</v>
      </c>
      <c r="B82" s="25" t="s">
        <v>60</v>
      </c>
      <c r="C82" s="25"/>
      <c r="D82" s="25" t="s">
        <v>6</v>
      </c>
      <c r="E82" s="25"/>
      <c r="F82" s="25" t="s">
        <v>6</v>
      </c>
      <c r="G82" s="25"/>
      <c r="H82" s="25" t="s">
        <v>6</v>
      </c>
      <c r="I82" s="25"/>
      <c r="J82" s="25" t="s">
        <v>6</v>
      </c>
      <c r="K82" s="25"/>
      <c r="L82" s="25" t="s">
        <v>6</v>
      </c>
      <c r="M82" s="25"/>
      <c r="N82" s="25" t="s">
        <v>6</v>
      </c>
      <c r="O82" s="25"/>
      <c r="P82" s="25" t="s">
        <v>6</v>
      </c>
    </row>
    <row r="83" spans="1:17">
      <c r="A83" s="25"/>
      <c r="B83" s="67" t="s">
        <v>61</v>
      </c>
      <c r="C83" s="25"/>
      <c r="D83" s="25"/>
      <c r="E83" s="25"/>
      <c r="F83" s="25"/>
      <c r="G83" s="25"/>
      <c r="H83" s="25"/>
      <c r="I83" s="25"/>
      <c r="J83" s="100">
        <f>Uniformes!Q14</f>
        <v>219.15666666666667</v>
      </c>
      <c r="K83" s="25"/>
      <c r="L83" s="100">
        <f>Uniformes!Q28</f>
        <v>127.52666666666667</v>
      </c>
      <c r="M83" s="25"/>
      <c r="N83" s="100">
        <v>127.53</v>
      </c>
      <c r="O83" s="25"/>
      <c r="P83" s="100">
        <v>219.16</v>
      </c>
    </row>
    <row r="84" spans="1:17">
      <c r="A84" s="25" t="s">
        <v>1</v>
      </c>
      <c r="B84" s="23" t="s">
        <v>62</v>
      </c>
      <c r="C84" s="6"/>
      <c r="D84" s="25"/>
      <c r="E84" s="6"/>
      <c r="F84" s="25"/>
      <c r="G84" s="7"/>
      <c r="H84" s="25"/>
      <c r="I84" s="7"/>
      <c r="J84" s="25"/>
      <c r="K84" s="7"/>
      <c r="L84" s="25"/>
      <c r="M84" s="7"/>
      <c r="N84" s="25"/>
      <c r="O84" s="7"/>
      <c r="P84" s="25"/>
    </row>
    <row r="85" spans="1:17">
      <c r="A85" s="25" t="s">
        <v>2</v>
      </c>
      <c r="B85" s="23" t="s">
        <v>63</v>
      </c>
      <c r="C85" s="6"/>
      <c r="D85" s="25"/>
      <c r="E85" s="6"/>
      <c r="F85" s="25"/>
      <c r="G85" s="7"/>
      <c r="H85" s="25"/>
      <c r="I85" s="7"/>
      <c r="J85" s="25"/>
      <c r="K85" s="7"/>
      <c r="L85" s="25"/>
      <c r="M85" s="7"/>
      <c r="N85" s="25"/>
      <c r="O85" s="7"/>
      <c r="P85" s="25"/>
    </row>
    <row r="86" spans="1:17">
      <c r="A86" s="28" t="s">
        <v>3</v>
      </c>
      <c r="B86" s="9" t="s">
        <v>8</v>
      </c>
      <c r="C86" s="6"/>
      <c r="D86" s="25"/>
      <c r="E86" s="6"/>
      <c r="F86" s="25"/>
      <c r="G86" s="7"/>
      <c r="H86" s="25"/>
      <c r="I86" s="7"/>
      <c r="J86" s="25"/>
      <c r="K86" s="7"/>
      <c r="L86" s="25"/>
      <c r="M86" s="7"/>
      <c r="N86" s="25"/>
      <c r="O86" s="7"/>
      <c r="P86" s="25"/>
    </row>
    <row r="87" spans="1:17">
      <c r="A87" s="126" t="s">
        <v>9</v>
      </c>
      <c r="B87" s="126"/>
      <c r="C87" s="23"/>
      <c r="D87" s="4">
        <f>ROUND(SUM(D84:D86),2)</f>
        <v>0</v>
      </c>
      <c r="E87" s="23"/>
      <c r="F87" s="4">
        <f>ROUND(SUM(F84:F86),2)</f>
        <v>0</v>
      </c>
      <c r="G87" s="23"/>
      <c r="H87" s="4">
        <f>ROUND(SUM(H84:H86),2)</f>
        <v>0</v>
      </c>
      <c r="I87" s="23"/>
      <c r="J87" s="4">
        <f>ROUND(SUM(J83:J86),2)</f>
        <v>219.16</v>
      </c>
      <c r="K87" s="23"/>
      <c r="L87" s="4">
        <f>ROUND(SUM(L83:L86),2)</f>
        <v>127.53</v>
      </c>
      <c r="M87" s="23"/>
      <c r="N87" s="4">
        <f>ROUND(SUM(N83:N86),2)</f>
        <v>127.53</v>
      </c>
      <c r="O87" s="23"/>
      <c r="P87" s="4">
        <f>ROUND(SUM(P83:P86),2)</f>
        <v>219.16</v>
      </c>
    </row>
    <row r="89" spans="1:17" ht="15" customHeight="1"/>
    <row r="90" spans="1:17" ht="40" customHeight="1">
      <c r="A90" s="125" t="s">
        <v>64</v>
      </c>
      <c r="B90" s="125"/>
      <c r="C90" s="125" t="str">
        <f>$C$1</f>
        <v>Assistente Administrativo</v>
      </c>
      <c r="D90" s="125"/>
      <c r="E90" s="125" t="str">
        <f>$E$1</f>
        <v>Assistente Administrativo (adicional de insalubridade)</v>
      </c>
      <c r="F90" s="125"/>
      <c r="G90" s="125" t="str">
        <f>$G$1</f>
        <v>Assistente Administrativo (adicional de periculosidade)</v>
      </c>
      <c r="H90" s="125"/>
      <c r="I90" s="125" t="str">
        <f>$I$1</f>
        <v>Motorista Executivo</v>
      </c>
      <c r="J90" s="125"/>
      <c r="K90" s="125" t="str">
        <f>$K$1</f>
        <v>Motorista Pesado (adicional de insalubridade)</v>
      </c>
      <c r="L90" s="125"/>
      <c r="M90" s="125" t="str">
        <f>$M$1</f>
        <v>Motorista Pesado (adicional de periculosidade)</v>
      </c>
      <c r="N90" s="125"/>
      <c r="O90" s="125" t="str">
        <f>$O$1</f>
        <v>Motorista Executivo (adicional de periculosidade)</v>
      </c>
      <c r="P90" s="125"/>
    </row>
    <row r="91" spans="1:17">
      <c r="A91" s="25">
        <v>6</v>
      </c>
      <c r="B91" s="25" t="s">
        <v>102</v>
      </c>
      <c r="C91" s="25" t="s">
        <v>13</v>
      </c>
      <c r="D91" s="25" t="s">
        <v>6</v>
      </c>
      <c r="E91" s="25" t="s">
        <v>13</v>
      </c>
      <c r="F91" s="25" t="s">
        <v>6</v>
      </c>
      <c r="G91" s="25" t="s">
        <v>13</v>
      </c>
      <c r="H91" s="25" t="s">
        <v>6</v>
      </c>
      <c r="I91" s="25" t="s">
        <v>13</v>
      </c>
      <c r="J91" s="25" t="s">
        <v>6</v>
      </c>
      <c r="K91" s="25" t="s">
        <v>13</v>
      </c>
      <c r="L91" s="25" t="s">
        <v>6</v>
      </c>
      <c r="M91" s="25" t="s">
        <v>13</v>
      </c>
      <c r="N91" s="25" t="s">
        <v>6</v>
      </c>
      <c r="O91" s="25" t="s">
        <v>13</v>
      </c>
      <c r="P91" s="25" t="s">
        <v>6</v>
      </c>
      <c r="Q91" t="s">
        <v>157</v>
      </c>
    </row>
    <row r="92" spans="1:17">
      <c r="A92" s="25" t="s">
        <v>0</v>
      </c>
      <c r="B92" s="23" t="s">
        <v>65</v>
      </c>
      <c r="C92" s="5">
        <f>ROUND(LDI!$B$10,2)</f>
        <v>0.01</v>
      </c>
      <c r="D92" s="24">
        <f>ROUND(D107*C92,2)</f>
        <v>59.29</v>
      </c>
      <c r="E92" s="5">
        <f>ROUND(LDI!$B$10,2)</f>
        <v>0.01</v>
      </c>
      <c r="F92" s="24">
        <f>ROUND(F107*E92,2)</f>
        <v>63.92</v>
      </c>
      <c r="G92" s="5">
        <f>ROUND(LDI!$B$10,2)</f>
        <v>0.01</v>
      </c>
      <c r="H92" s="24">
        <f>ROUND(H107*G92,2)</f>
        <v>74.349999999999994</v>
      </c>
      <c r="I92" s="5">
        <f>ROUND(LDI!$B$10,2)</f>
        <v>0.01</v>
      </c>
      <c r="J92" s="24">
        <f>ROUND(J107*I92,2)</f>
        <v>67.319999999999993</v>
      </c>
      <c r="K92" s="5">
        <f>ROUND(LDI!$B$10,2)</f>
        <v>0.01</v>
      </c>
      <c r="L92" s="24">
        <f>ROUND(L107*K92,2)</f>
        <v>70.739999999999995</v>
      </c>
      <c r="M92" s="5">
        <f>ROUND(LDI!$B$10,2)</f>
        <v>0.01</v>
      </c>
      <c r="N92" s="24">
        <f>ROUND(N107*M92,2)</f>
        <v>82.64</v>
      </c>
      <c r="O92" s="5">
        <f>ROUND(LDI!$B$10,2)</f>
        <v>0.01</v>
      </c>
      <c r="P92" s="24">
        <f>ROUND(P107*O92,2)</f>
        <v>83.56</v>
      </c>
      <c r="Q92" t="s">
        <v>157</v>
      </c>
    </row>
    <row r="93" spans="1:17">
      <c r="A93" s="25" t="s">
        <v>1</v>
      </c>
      <c r="B93" s="23" t="s">
        <v>66</v>
      </c>
      <c r="C93" s="5">
        <f>ROUND(LDI!$B$22,4)</f>
        <v>4.3999999999999997E-2</v>
      </c>
      <c r="D93" s="24">
        <f>ROUND((D107+D92)*C93,2)</f>
        <v>263.48</v>
      </c>
      <c r="E93" s="5">
        <f>ROUND(LDI!$B$22,4)</f>
        <v>4.3999999999999997E-2</v>
      </c>
      <c r="F93" s="24">
        <f>ROUND((F107+F92)*E93,2)</f>
        <v>284.04000000000002</v>
      </c>
      <c r="G93" s="5">
        <f>ROUND(LDI!$B$22,4)</f>
        <v>4.3999999999999997E-2</v>
      </c>
      <c r="H93" s="24">
        <f>ROUND((H107+H92)*G93,2)</f>
        <v>330.4</v>
      </c>
      <c r="I93" s="5">
        <f>ROUND(LDI!$B$22,4)</f>
        <v>4.3999999999999997E-2</v>
      </c>
      <c r="J93" s="24">
        <f>ROUND((J107+J92)*I93,2)</f>
        <v>299.14999999999998</v>
      </c>
      <c r="K93" s="5">
        <f>ROUND(LDI!$B$22,4)</f>
        <v>4.3999999999999997E-2</v>
      </c>
      <c r="L93" s="24">
        <f>ROUND((L107+L92)*K93,2)</f>
        <v>314.37</v>
      </c>
      <c r="M93" s="5">
        <f>ROUND(LDI!$B$22,4)</f>
        <v>4.3999999999999997E-2</v>
      </c>
      <c r="N93" s="24">
        <f>ROUND((N107+N92)*M93,2)</f>
        <v>367.25</v>
      </c>
      <c r="O93" s="5">
        <f>ROUND(LDI!$B$22,4)</f>
        <v>4.3999999999999997E-2</v>
      </c>
      <c r="P93" s="24">
        <f>ROUND((P107+P92)*O93,2)</f>
        <v>371.32</v>
      </c>
    </row>
    <row r="94" spans="1:17">
      <c r="A94" s="25" t="s">
        <v>2</v>
      </c>
      <c r="B94" s="23" t="s">
        <v>67</v>
      </c>
      <c r="C94" s="5">
        <f t="shared" ref="C94:P94" si="17">SUM(C95:C97)</f>
        <v>0.14250000000000002</v>
      </c>
      <c r="D94" s="24">
        <f t="shared" si="17"/>
        <v>1038.92</v>
      </c>
      <c r="E94" s="5">
        <f t="shared" ref="E94:F94" si="18">SUM(E95:E97)</f>
        <v>0.14250000000000002</v>
      </c>
      <c r="F94" s="24">
        <f t="shared" si="18"/>
        <v>1119.99</v>
      </c>
      <c r="G94" s="5">
        <f t="shared" si="17"/>
        <v>0.14250000000000002</v>
      </c>
      <c r="H94" s="24">
        <f t="shared" si="17"/>
        <v>1302.79</v>
      </c>
      <c r="I94" s="5">
        <f t="shared" si="17"/>
        <v>0.14250000000000002</v>
      </c>
      <c r="J94" s="24">
        <f t="shared" si="17"/>
        <v>1179.56</v>
      </c>
      <c r="K94" s="5">
        <f t="shared" si="17"/>
        <v>0.14250000000000002</v>
      </c>
      <c r="L94" s="24">
        <f t="shared" si="17"/>
        <v>1239.56</v>
      </c>
      <c r="M94" s="5">
        <f t="shared" ref="M94:N94" si="19">SUM(M95:M97)</f>
        <v>0.14250000000000002</v>
      </c>
      <c r="N94" s="24">
        <f t="shared" si="19"/>
        <v>1448.08</v>
      </c>
      <c r="O94" s="5">
        <f t="shared" si="17"/>
        <v>0.14250000000000002</v>
      </c>
      <c r="P94" s="24">
        <f t="shared" si="17"/>
        <v>1464.13</v>
      </c>
      <c r="Q94" t="s">
        <v>189</v>
      </c>
    </row>
    <row r="95" spans="1:17">
      <c r="A95" s="28" t="s">
        <v>68</v>
      </c>
      <c r="B95" s="9" t="s">
        <v>69</v>
      </c>
      <c r="C95" s="5">
        <v>1.6500000000000001E-2</v>
      </c>
      <c r="D95" s="24">
        <f>ROUND(C95*D109,2)</f>
        <v>120.3</v>
      </c>
      <c r="E95" s="5">
        <v>1.6500000000000001E-2</v>
      </c>
      <c r="F95" s="24">
        <f>ROUND(E95*F109,2)</f>
        <v>129.68</v>
      </c>
      <c r="G95" s="5">
        <v>1.6500000000000001E-2</v>
      </c>
      <c r="H95" s="24">
        <f>ROUND(G95*H109,2)</f>
        <v>150.85</v>
      </c>
      <c r="I95" s="5">
        <v>1.6500000000000001E-2</v>
      </c>
      <c r="J95" s="24">
        <f>ROUND(I95*J109,2)</f>
        <v>136.58000000000001</v>
      </c>
      <c r="K95" s="5">
        <v>1.6500000000000001E-2</v>
      </c>
      <c r="L95" s="24">
        <f>ROUND(K95*L109,2)</f>
        <v>143.53</v>
      </c>
      <c r="M95" s="5">
        <v>1.6500000000000001E-2</v>
      </c>
      <c r="N95" s="24">
        <f>ROUND(M95*N109,2)</f>
        <v>167.67</v>
      </c>
      <c r="O95" s="5">
        <v>1.6500000000000001E-2</v>
      </c>
      <c r="P95" s="24">
        <f>ROUND(O95*P109,2)</f>
        <v>169.53</v>
      </c>
      <c r="Q95" t="s">
        <v>190</v>
      </c>
    </row>
    <row r="96" spans="1:17">
      <c r="A96" s="28" t="s">
        <v>70</v>
      </c>
      <c r="B96" s="9" t="s">
        <v>71</v>
      </c>
      <c r="C96" s="5">
        <v>7.5999999999999998E-2</v>
      </c>
      <c r="D96" s="24">
        <f>ROUND(C96*D109,2)</f>
        <v>554.09</v>
      </c>
      <c r="E96" s="5">
        <v>7.5999999999999998E-2</v>
      </c>
      <c r="F96" s="24">
        <f>ROUND(E96*F109,2)</f>
        <v>597.33000000000004</v>
      </c>
      <c r="G96" s="5">
        <v>7.5999999999999998E-2</v>
      </c>
      <c r="H96" s="24">
        <f>ROUND(G96*H109,2)</f>
        <v>694.82</v>
      </c>
      <c r="I96" s="5">
        <v>7.5999999999999998E-2</v>
      </c>
      <c r="J96" s="24">
        <f>ROUND(I96*J109,2)</f>
        <v>629.1</v>
      </c>
      <c r="K96" s="5">
        <v>7.5999999999999998E-2</v>
      </c>
      <c r="L96" s="24">
        <f>ROUND(K96*L109,2)</f>
        <v>661.1</v>
      </c>
      <c r="M96" s="5">
        <v>7.5999999999999998E-2</v>
      </c>
      <c r="N96" s="24">
        <f>ROUND(M96*N109,2)</f>
        <v>772.31</v>
      </c>
      <c r="O96" s="5">
        <v>7.5999999999999998E-2</v>
      </c>
      <c r="P96" s="24">
        <f>ROUND(O96*P109,2)</f>
        <v>780.87</v>
      </c>
      <c r="Q96" t="s">
        <v>191</v>
      </c>
    </row>
    <row r="97" spans="1:16">
      <c r="A97" s="25" t="s">
        <v>72</v>
      </c>
      <c r="B97" s="23" t="s">
        <v>73</v>
      </c>
      <c r="C97" s="5">
        <v>0.05</v>
      </c>
      <c r="D97" s="24">
        <f>ROUND(C97*D109,2)</f>
        <v>364.53</v>
      </c>
      <c r="E97" s="5">
        <v>0.05</v>
      </c>
      <c r="F97" s="24">
        <f>ROUND(E97*F109,2)</f>
        <v>392.98</v>
      </c>
      <c r="G97" s="5">
        <v>0.05</v>
      </c>
      <c r="H97" s="24">
        <f>ROUND(G97*H109,2)</f>
        <v>457.12</v>
      </c>
      <c r="I97" s="5">
        <v>0.05</v>
      </c>
      <c r="J97" s="24">
        <f>ROUND(I97*J109,2)</f>
        <v>413.88</v>
      </c>
      <c r="K97" s="5">
        <v>0.05</v>
      </c>
      <c r="L97" s="24">
        <f>ROUND(K97*L109,2)</f>
        <v>434.93</v>
      </c>
      <c r="M97" s="5">
        <v>0.05</v>
      </c>
      <c r="N97" s="24">
        <f>ROUND(M97*N109,2)</f>
        <v>508.1</v>
      </c>
      <c r="O97" s="5">
        <v>0.05</v>
      </c>
      <c r="P97" s="24">
        <f>ROUND(O97*P109,2)</f>
        <v>513.73</v>
      </c>
    </row>
    <row r="98" spans="1:16">
      <c r="A98" s="126" t="s">
        <v>9</v>
      </c>
      <c r="B98" s="126"/>
      <c r="C98" s="23"/>
      <c r="D98" s="4">
        <f>ROUND(SUM(D92+D93+D94),2)</f>
        <v>1361.69</v>
      </c>
      <c r="E98" s="23"/>
      <c r="F98" s="4">
        <f>ROUND(SUM(F92+F93+F94),2)</f>
        <v>1467.95</v>
      </c>
      <c r="G98" s="23"/>
      <c r="H98" s="4">
        <f>ROUND(SUM(H92+H93+H94),2)</f>
        <v>1707.54</v>
      </c>
      <c r="I98" s="23"/>
      <c r="J98" s="4">
        <f>ROUND(SUM(J92+J93+J94),2)</f>
        <v>1546.03</v>
      </c>
      <c r="K98" s="23"/>
      <c r="L98" s="4">
        <f>ROUND(SUM(L92+L93+L94),2)</f>
        <v>1624.67</v>
      </c>
      <c r="M98" s="23"/>
      <c r="N98" s="4">
        <f>ROUND(SUM(N92+N93+N94),2)</f>
        <v>1897.97</v>
      </c>
      <c r="O98" s="23"/>
      <c r="P98" s="4">
        <f>ROUND(SUM(P92+P93+P94),2)</f>
        <v>1919.01</v>
      </c>
    </row>
    <row r="99" spans="1:16" ht="15" customHeight="1">
      <c r="A99" s="29"/>
      <c r="B99" s="29"/>
      <c r="D99" s="11"/>
      <c r="F99" s="11"/>
      <c r="H99" s="11"/>
      <c r="J99" s="11"/>
      <c r="L99" s="11"/>
      <c r="N99" s="11"/>
      <c r="P99" s="11"/>
    </row>
    <row r="100" spans="1:16" ht="40" customHeight="1">
      <c r="A100" s="125" t="s">
        <v>74</v>
      </c>
      <c r="B100" s="125"/>
      <c r="C100" s="125" t="str">
        <f>$C$1</f>
        <v>Assistente Administrativo</v>
      </c>
      <c r="D100" s="125"/>
      <c r="E100" s="125" t="str">
        <f>$E$1</f>
        <v>Assistente Administrativo (adicional de insalubridade)</v>
      </c>
      <c r="F100" s="125"/>
      <c r="G100" s="125" t="str">
        <f>$G$1</f>
        <v>Assistente Administrativo (adicional de periculosidade)</v>
      </c>
      <c r="H100" s="125"/>
      <c r="I100" s="125" t="str">
        <f>$I$1</f>
        <v>Motorista Executivo</v>
      </c>
      <c r="J100" s="125"/>
      <c r="K100" s="125" t="str">
        <f>$K$1</f>
        <v>Motorista Pesado (adicional de insalubridade)</v>
      </c>
      <c r="L100" s="125"/>
      <c r="M100" s="125" t="str">
        <f>$M$1</f>
        <v>Motorista Pesado (adicional de periculosidade)</v>
      </c>
      <c r="N100" s="125"/>
      <c r="O100" s="125" t="str">
        <f>$O$1</f>
        <v>Motorista Executivo (adicional de periculosidade)</v>
      </c>
      <c r="P100" s="125"/>
    </row>
    <row r="101" spans="1:16">
      <c r="A101" s="128" t="s">
        <v>75</v>
      </c>
      <c r="B101" s="128"/>
      <c r="C101" s="25" t="s">
        <v>13</v>
      </c>
      <c r="D101" s="25" t="s">
        <v>6</v>
      </c>
      <c r="E101" s="25" t="s">
        <v>13</v>
      </c>
      <c r="F101" s="25" t="s">
        <v>6</v>
      </c>
      <c r="G101" s="25" t="s">
        <v>13</v>
      </c>
      <c r="H101" s="25" t="s">
        <v>6</v>
      </c>
      <c r="I101" s="25" t="s">
        <v>13</v>
      </c>
      <c r="J101" s="25" t="s">
        <v>6</v>
      </c>
      <c r="K101" s="25" t="s">
        <v>13</v>
      </c>
      <c r="L101" s="25" t="s">
        <v>6</v>
      </c>
      <c r="M101" s="25" t="s">
        <v>13</v>
      </c>
      <c r="N101" s="25" t="s">
        <v>6</v>
      </c>
      <c r="O101" s="25" t="s">
        <v>13</v>
      </c>
      <c r="P101" s="25" t="s">
        <v>6</v>
      </c>
    </row>
    <row r="102" spans="1:16">
      <c r="A102" s="25" t="s">
        <v>0</v>
      </c>
      <c r="B102" s="23" t="s">
        <v>76</v>
      </c>
      <c r="C102" s="7">
        <f>(D102/$D$109)</f>
        <v>0.39291596219950503</v>
      </c>
      <c r="D102" s="24">
        <f>D7</f>
        <v>2864.63</v>
      </c>
      <c r="E102" s="7">
        <f>(F102/$F$109)</f>
        <v>0.39806756301598317</v>
      </c>
      <c r="F102" s="24">
        <f>F7</f>
        <v>3128.63</v>
      </c>
      <c r="G102" s="30">
        <f>H102/$H$109</f>
        <v>0.40733691930807431</v>
      </c>
      <c r="H102" s="24">
        <f>H7</f>
        <v>3724.0190000000002</v>
      </c>
      <c r="I102" s="30">
        <f>J102/$J$109</f>
        <v>0.38175984274709357</v>
      </c>
      <c r="J102" s="24">
        <f>J7</f>
        <v>3160.0899999999997</v>
      </c>
      <c r="K102" s="30">
        <f>L102/$L$109</f>
        <v>0.3917569411859339</v>
      </c>
      <c r="L102" s="24">
        <f>L7</f>
        <v>3407.7599999999998</v>
      </c>
      <c r="M102" s="30">
        <f>N102/$P$109</f>
        <v>0.3977665706444386</v>
      </c>
      <c r="N102" s="24">
        <f>N7</f>
        <v>4086.8880000000004</v>
      </c>
      <c r="O102" s="30">
        <f>P102/$P$109</f>
        <v>0.39776657064443854</v>
      </c>
      <c r="P102" s="24">
        <f>P7</f>
        <v>4086.8879999999999</v>
      </c>
    </row>
    <row r="103" spans="1:16">
      <c r="A103" s="25" t="s">
        <v>1</v>
      </c>
      <c r="B103" s="23" t="s">
        <v>77</v>
      </c>
      <c r="C103" s="7">
        <f t="shared" ref="C103:C108" si="20">(D103/$D$109)</f>
        <v>0.37387250730593091</v>
      </c>
      <c r="D103" s="24">
        <f>D44</f>
        <v>2725.79</v>
      </c>
      <c r="E103" s="7">
        <f>(F103/$F$109)</f>
        <v>0.36811035883648185</v>
      </c>
      <c r="F103" s="24">
        <f>F44</f>
        <v>2893.18</v>
      </c>
      <c r="G103" s="30">
        <f>H103/$H$109</f>
        <v>0.35774587126589852</v>
      </c>
      <c r="H103" s="24">
        <f>H44</f>
        <v>3270.64</v>
      </c>
      <c r="I103" s="30">
        <f>J103/$J$109</f>
        <v>0.35986968028153937</v>
      </c>
      <c r="J103" s="24">
        <f>J44</f>
        <v>2978.89</v>
      </c>
      <c r="K103" s="30">
        <f>L103/$L$109</f>
        <v>0.36050614685417814</v>
      </c>
      <c r="L103" s="24">
        <f>L44</f>
        <v>3135.92</v>
      </c>
      <c r="M103" s="30">
        <f>N103/$P$109</f>
        <v>0.34711656372084998</v>
      </c>
      <c r="N103" s="24">
        <f>N44</f>
        <v>3566.48</v>
      </c>
      <c r="O103" s="30">
        <f>P103/$P$109</f>
        <v>0.34711656372084998</v>
      </c>
      <c r="P103" s="24">
        <f>P44</f>
        <v>3566.48</v>
      </c>
    </row>
    <row r="104" spans="1:16">
      <c r="A104" s="25" t="s">
        <v>2</v>
      </c>
      <c r="B104" s="23" t="s">
        <v>78</v>
      </c>
      <c r="C104" s="7">
        <f t="shared" si="20"/>
        <v>2.8130381475966002E-2</v>
      </c>
      <c r="D104" s="24">
        <f>D54</f>
        <v>205.09</v>
      </c>
      <c r="E104" s="7">
        <f>(F104/$F$109)</f>
        <v>2.8499104540949258E-2</v>
      </c>
      <c r="F104" s="24">
        <f>F54</f>
        <v>223.99</v>
      </c>
      <c r="G104" s="30">
        <f>H104/$H$109</f>
        <v>2.9163162010161274E-2</v>
      </c>
      <c r="H104" s="24">
        <f>H54</f>
        <v>266.62</v>
      </c>
      <c r="I104" s="30">
        <f>J104/$J$109</f>
        <v>2.7332501422911985E-2</v>
      </c>
      <c r="J104" s="24">
        <f>J54</f>
        <v>226.25</v>
      </c>
      <c r="K104" s="30">
        <f>L104/$L$109</f>
        <v>2.8048001769650492E-2</v>
      </c>
      <c r="L104" s="24">
        <f>L54</f>
        <v>243.98</v>
      </c>
      <c r="M104" s="30">
        <f>N104/$P$109</f>
        <v>2.8478024983939546E-2</v>
      </c>
      <c r="N104" s="24">
        <f>N54</f>
        <v>292.60000000000002</v>
      </c>
      <c r="O104" s="30">
        <f>P104/$P$109</f>
        <v>2.8478024983939546E-2</v>
      </c>
      <c r="P104" s="24">
        <f>P54</f>
        <v>292.60000000000002</v>
      </c>
    </row>
    <row r="105" spans="1:16">
      <c r="A105" s="28" t="s">
        <v>3</v>
      </c>
      <c r="B105" s="9" t="s">
        <v>79</v>
      </c>
      <c r="C105" s="7">
        <f t="shared" si="20"/>
        <v>1.8309642709184757E-2</v>
      </c>
      <c r="D105" s="24">
        <f>D78</f>
        <v>133.49</v>
      </c>
      <c r="E105" s="7">
        <f>(F105/$F$109)</f>
        <v>1.8550691736552532E-2</v>
      </c>
      <c r="F105" s="24">
        <f>F78</f>
        <v>145.80000000000001</v>
      </c>
      <c r="G105" s="30">
        <f>H105/$H$109</f>
        <v>1.8981978603418298E-2</v>
      </c>
      <c r="H105" s="24">
        <f>H78</f>
        <v>173.54</v>
      </c>
      <c r="I105" s="30">
        <f>J105/$J$109</f>
        <v>1.7789985235527155E-2</v>
      </c>
      <c r="J105" s="24">
        <f>J78</f>
        <v>147.26</v>
      </c>
      <c r="K105" s="30">
        <f>L105/$L$109</f>
        <v>1.825568768350069E-2</v>
      </c>
      <c r="L105" s="24">
        <f>L78</f>
        <v>158.80000000000001</v>
      </c>
      <c r="M105" s="30">
        <f>N105/$P$109</f>
        <v>1.8536021388213555E-2</v>
      </c>
      <c r="N105" s="24">
        <f>N78</f>
        <v>190.45</v>
      </c>
      <c r="O105" s="30">
        <f>P105/$P$109</f>
        <v>1.8536021388213555E-2</v>
      </c>
      <c r="P105" s="24">
        <f>P78</f>
        <v>190.45</v>
      </c>
    </row>
    <row r="106" spans="1:16">
      <c r="A106" s="28" t="s">
        <v>22</v>
      </c>
      <c r="B106" s="9" t="s">
        <v>80</v>
      </c>
      <c r="C106" s="7">
        <f t="shared" si="20"/>
        <v>0</v>
      </c>
      <c r="D106" s="24">
        <f>D87</f>
        <v>0</v>
      </c>
      <c r="E106" s="7">
        <f>(F106/$F$109)</f>
        <v>0</v>
      </c>
      <c r="F106" s="24">
        <f>F87</f>
        <v>0</v>
      </c>
      <c r="G106" s="30">
        <f>H106/$H$109</f>
        <v>0</v>
      </c>
      <c r="H106" s="24">
        <f>H87</f>
        <v>0</v>
      </c>
      <c r="I106" s="30">
        <f>J106/$J$109</f>
        <v>2.6475982372797306E-2</v>
      </c>
      <c r="J106" s="24">
        <f>J87</f>
        <v>219.16</v>
      </c>
      <c r="K106" s="30">
        <f>L106/$L$109</f>
        <v>1.4660880669249641E-2</v>
      </c>
      <c r="L106" s="24">
        <f>L87</f>
        <v>127.53</v>
      </c>
      <c r="M106" s="30">
        <f>N106/$P$109</f>
        <v>1.2412175414223549E-2</v>
      </c>
      <c r="N106" s="24">
        <f>N87</f>
        <v>127.53</v>
      </c>
      <c r="O106" s="30">
        <f>P106/$P$109</f>
        <v>2.1330293764457248E-2</v>
      </c>
      <c r="P106" s="24">
        <f>P87</f>
        <v>219.16</v>
      </c>
    </row>
    <row r="107" spans="1:16">
      <c r="A107" s="130" t="s">
        <v>81</v>
      </c>
      <c r="B107" s="130"/>
      <c r="C107" s="7"/>
      <c r="D107" s="31">
        <f>ROUND(SUM(D102:D106),2)</f>
        <v>5929</v>
      </c>
      <c r="E107" s="7"/>
      <c r="F107" s="31">
        <f>ROUND(SUM(F102:F106),2)</f>
        <v>6391.6</v>
      </c>
      <c r="G107" s="30"/>
      <c r="H107" s="31">
        <f>ROUND(SUM(H102:H106),2)</f>
        <v>7434.82</v>
      </c>
      <c r="I107" s="30"/>
      <c r="J107" s="31">
        <f>ROUND(SUM(J102:J106),2)</f>
        <v>6731.65</v>
      </c>
      <c r="K107" s="30"/>
      <c r="L107" s="31">
        <f>ROUND(SUM(L102:L106),2)</f>
        <v>7073.99</v>
      </c>
      <c r="M107" s="30"/>
      <c r="N107" s="31">
        <f>ROUND(SUM(N102:N106),2)</f>
        <v>8263.9500000000007</v>
      </c>
      <c r="O107" s="30"/>
      <c r="P107" s="31">
        <f>ROUND(SUM(P102:P106),2)</f>
        <v>8355.58</v>
      </c>
    </row>
    <row r="108" spans="1:16">
      <c r="A108" s="28" t="s">
        <v>24</v>
      </c>
      <c r="B108" s="32" t="s">
        <v>64</v>
      </c>
      <c r="C108" s="7">
        <f t="shared" si="20"/>
        <v>0.18677097446003291</v>
      </c>
      <c r="D108" s="24">
        <f>D98</f>
        <v>1361.69</v>
      </c>
      <c r="E108" s="7">
        <f>(F108/$F$109)</f>
        <v>0.18677289392779348</v>
      </c>
      <c r="F108" s="24">
        <f>F98</f>
        <v>1467.95</v>
      </c>
      <c r="G108" s="30">
        <f>H108/$H$109</f>
        <v>0.18677243139610974</v>
      </c>
      <c r="H108" s="24">
        <f>H98</f>
        <v>1707.54</v>
      </c>
      <c r="I108" s="30">
        <f>J108/$J$109</f>
        <v>0.18677068364581045</v>
      </c>
      <c r="J108" s="24">
        <f>J98</f>
        <v>1546.03</v>
      </c>
      <c r="K108" s="30">
        <f>L108/$L$109</f>
        <v>0.18677246919869689</v>
      </c>
      <c r="L108" s="24">
        <f>L98</f>
        <v>1624.67</v>
      </c>
      <c r="M108" s="30">
        <f>N108/$P$109</f>
        <v>0.18472466534096971</v>
      </c>
      <c r="N108" s="24">
        <f>N98</f>
        <v>1897.97</v>
      </c>
      <c r="O108" s="30">
        <f>P108/$P$109</f>
        <v>0.1867724358319543</v>
      </c>
      <c r="P108" s="24">
        <f>P98</f>
        <v>1919.01</v>
      </c>
    </row>
    <row r="109" spans="1:16">
      <c r="A109" s="130" t="s">
        <v>82</v>
      </c>
      <c r="B109" s="130"/>
      <c r="C109" s="33">
        <f>SUM(C102:C108)</f>
        <v>0.99999946815061957</v>
      </c>
      <c r="D109" s="31">
        <f>(D107+D92+D93)/(1-C94)</f>
        <v>7290.6938775510216</v>
      </c>
      <c r="E109" s="33">
        <f>SUM(E102:E108)</f>
        <v>1.0000006120577603</v>
      </c>
      <c r="F109" s="31">
        <f>(F107+F92+F93)/(1-E94)</f>
        <v>7859.5451895043743</v>
      </c>
      <c r="G109" s="30">
        <f>SUM(G102:G108)</f>
        <v>1.000000362583662</v>
      </c>
      <c r="H109" s="31">
        <f>(H107+H92+H93)/(1-G94)</f>
        <v>9142.3556851311951</v>
      </c>
      <c r="I109" s="30">
        <f>SUM(I102:I108)</f>
        <v>0.9999986757056798</v>
      </c>
      <c r="J109" s="31">
        <f>(J107+J92+J93)/(1-I94)</f>
        <v>8277.6909620991246</v>
      </c>
      <c r="K109" s="30">
        <f>SUM(K102:K108)</f>
        <v>1.0000001273612098</v>
      </c>
      <c r="L109" s="31">
        <f>(L107+L92+L93)/(1-K94)</f>
        <v>8698.6588921282801</v>
      </c>
      <c r="M109" s="30">
        <f>SUM(M102:M108)</f>
        <v>0.98903402149263497</v>
      </c>
      <c r="N109" s="31">
        <f>(N107+N92+N93)/(1-M94)</f>
        <v>10161.912536443149</v>
      </c>
      <c r="O109" s="30">
        <f>SUM(O102:O108)</f>
        <v>0.99999991033385327</v>
      </c>
      <c r="P109" s="31">
        <f>(P107+P92+P93)/(1-O94)</f>
        <v>10274.588921282799</v>
      </c>
    </row>
    <row r="110" spans="1:16">
      <c r="D110" s="34">
        <f>D109/D102</f>
        <v>2.5450734920569222</v>
      </c>
      <c r="F110" s="34">
        <f>F109/F102</f>
        <v>2.5121363630420901</v>
      </c>
      <c r="G110" s="34"/>
      <c r="H110" s="34">
        <f>H109/H102</f>
        <v>2.4549702042688812</v>
      </c>
      <c r="I110" s="34"/>
      <c r="J110" s="34">
        <f>J109/J102</f>
        <v>2.6194478518330571</v>
      </c>
      <c r="K110" s="34"/>
      <c r="L110" s="34">
        <f>L109/L102</f>
        <v>2.5526031446252908</v>
      </c>
      <c r="M110" s="34"/>
      <c r="N110" s="34">
        <f>N109/N102</f>
        <v>2.4864670958546329</v>
      </c>
      <c r="P110" s="101">
        <f>P109/P102</f>
        <v>2.5140373118330621</v>
      </c>
    </row>
    <row r="111" spans="1:16" ht="15" customHeight="1">
      <c r="D111" s="34">
        <f>(D109-D102)/D102</f>
        <v>1.5450734920569222</v>
      </c>
      <c r="F111" s="34">
        <f>(F109-F102)/F102</f>
        <v>1.5121363630420901</v>
      </c>
      <c r="G111" s="34"/>
      <c r="H111" s="34">
        <f>(H109-H102)/H102</f>
        <v>1.4549702042688812</v>
      </c>
      <c r="I111" s="34"/>
      <c r="J111" s="34">
        <f>(J109-J102)/J102</f>
        <v>1.6194478518330571</v>
      </c>
      <c r="K111" s="34"/>
      <c r="L111" s="34">
        <f>(L109-L102)/L102</f>
        <v>1.5526031446252906</v>
      </c>
      <c r="M111" s="34"/>
      <c r="N111" s="34">
        <f>(N109-N102)/N102</f>
        <v>1.4864670958546327</v>
      </c>
      <c r="O111" s="34"/>
      <c r="P111" s="34">
        <f>(P109-P102)/P102</f>
        <v>1.5140373118330619</v>
      </c>
    </row>
    <row r="112" spans="1:16" ht="40" customHeight="1">
      <c r="A112" s="125" t="s">
        <v>83</v>
      </c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</row>
    <row r="113" spans="1:14">
      <c r="A113" s="125" t="s">
        <v>84</v>
      </c>
      <c r="B113" s="125"/>
      <c r="C113" s="125" t="s">
        <v>85</v>
      </c>
      <c r="D113" s="125"/>
      <c r="E113" s="125" t="s">
        <v>86</v>
      </c>
      <c r="F113" s="125"/>
      <c r="G113" s="125" t="s">
        <v>87</v>
      </c>
      <c r="H113" s="125"/>
      <c r="I113" s="125" t="s">
        <v>88</v>
      </c>
      <c r="J113" s="125"/>
      <c r="K113" s="125" t="s">
        <v>89</v>
      </c>
      <c r="L113" s="125"/>
    </row>
    <row r="114" spans="1:14">
      <c r="A114" s="25" t="s">
        <v>90</v>
      </c>
      <c r="B114" s="35" t="str">
        <f>C1</f>
        <v>Assistente Administrativo</v>
      </c>
      <c r="C114" s="131">
        <f>ROUND(D109,2)</f>
        <v>7290.69</v>
      </c>
      <c r="D114" s="131"/>
      <c r="E114" s="132">
        <v>1</v>
      </c>
      <c r="F114" s="132"/>
      <c r="G114" s="131">
        <f>(C114*E114)</f>
        <v>7290.69</v>
      </c>
      <c r="H114" s="131"/>
      <c r="I114" s="132">
        <v>169</v>
      </c>
      <c r="J114" s="132"/>
      <c r="K114" s="131">
        <f>G114*I114</f>
        <v>1232126.6099999999</v>
      </c>
      <c r="L114" s="131"/>
    </row>
    <row r="115" spans="1:14">
      <c r="A115" s="25" t="s">
        <v>91</v>
      </c>
      <c r="B115" s="35" t="str">
        <f>E1</f>
        <v>Assistente Administrativo (adicional de insalubridade)</v>
      </c>
      <c r="C115" s="131">
        <f>ROUND(F109,2)</f>
        <v>7859.55</v>
      </c>
      <c r="D115" s="131"/>
      <c r="E115" s="132">
        <v>1</v>
      </c>
      <c r="F115" s="132"/>
      <c r="G115" s="131">
        <f>(C115*E115)</f>
        <v>7859.55</v>
      </c>
      <c r="H115" s="131"/>
      <c r="I115" s="132">
        <v>11</v>
      </c>
      <c r="J115" s="132"/>
      <c r="K115" s="133">
        <f>G115*I115</f>
        <v>86455.05</v>
      </c>
      <c r="L115" s="134"/>
    </row>
    <row r="116" spans="1:14">
      <c r="A116" s="25" t="s">
        <v>92</v>
      </c>
      <c r="B116" s="35" t="str">
        <f>G1</f>
        <v>Assistente Administrativo (adicional de periculosidade)</v>
      </c>
      <c r="C116" s="131">
        <f>ROUND(H109,2)</f>
        <v>9142.36</v>
      </c>
      <c r="D116" s="131"/>
      <c r="E116" s="132">
        <v>1</v>
      </c>
      <c r="F116" s="132"/>
      <c r="G116" s="135">
        <f t="shared" ref="G116:G120" si="21">(C116*E116)</f>
        <v>9142.36</v>
      </c>
      <c r="H116" s="135"/>
      <c r="I116" s="132">
        <v>25</v>
      </c>
      <c r="J116" s="132"/>
      <c r="K116" s="131">
        <f t="shared" ref="K116:K120" si="22">G116*I116</f>
        <v>228559</v>
      </c>
      <c r="L116" s="131"/>
    </row>
    <row r="117" spans="1:14">
      <c r="A117" s="25" t="s">
        <v>93</v>
      </c>
      <c r="B117" s="35" t="str">
        <f>I1</f>
        <v>Motorista Executivo</v>
      </c>
      <c r="C117" s="131">
        <f>ROUND(J109,2)</f>
        <v>8277.69</v>
      </c>
      <c r="D117" s="131"/>
      <c r="E117" s="132">
        <v>1</v>
      </c>
      <c r="F117" s="132"/>
      <c r="G117" s="135">
        <f t="shared" si="21"/>
        <v>8277.69</v>
      </c>
      <c r="H117" s="135"/>
      <c r="I117" s="132">
        <v>21</v>
      </c>
      <c r="J117" s="132"/>
      <c r="K117" s="131">
        <f t="shared" si="22"/>
        <v>173831.49000000002</v>
      </c>
      <c r="L117" s="131"/>
    </row>
    <row r="118" spans="1:14">
      <c r="A118" s="28" t="s">
        <v>94</v>
      </c>
      <c r="B118" s="35" t="str">
        <f>K1</f>
        <v>Motorista Pesado (adicional de insalubridade)</v>
      </c>
      <c r="C118" s="131">
        <f>ROUND(L109,2)</f>
        <v>8698.66</v>
      </c>
      <c r="D118" s="131"/>
      <c r="E118" s="132">
        <v>1</v>
      </c>
      <c r="F118" s="132"/>
      <c r="G118" s="135">
        <f t="shared" si="21"/>
        <v>8698.66</v>
      </c>
      <c r="H118" s="135"/>
      <c r="I118" s="132">
        <v>1</v>
      </c>
      <c r="J118" s="132"/>
      <c r="K118" s="131">
        <f>G118*I118</f>
        <v>8698.66</v>
      </c>
      <c r="L118" s="131"/>
      <c r="N118" s="46"/>
    </row>
    <row r="119" spans="1:14">
      <c r="A119" s="28" t="s">
        <v>96</v>
      </c>
      <c r="B119" s="35" t="str">
        <f>M1</f>
        <v>Motorista Pesado (adicional de periculosidade)</v>
      </c>
      <c r="C119" s="131">
        <f>ROUND(N109,2)</f>
        <v>10161.91</v>
      </c>
      <c r="D119" s="131"/>
      <c r="E119" s="136">
        <v>1</v>
      </c>
      <c r="F119" s="137"/>
      <c r="G119" s="135">
        <f t="shared" ref="G119" si="23">(C119*E119)</f>
        <v>10161.91</v>
      </c>
      <c r="H119" s="135"/>
      <c r="I119" s="136">
        <v>1</v>
      </c>
      <c r="J119" s="137"/>
      <c r="K119" s="131">
        <f>G119*I119</f>
        <v>10161.91</v>
      </c>
      <c r="L119" s="131"/>
      <c r="N119" s="46"/>
    </row>
    <row r="120" spans="1:14">
      <c r="A120" s="25" t="s">
        <v>246</v>
      </c>
      <c r="B120" s="35" t="str">
        <f>O1</f>
        <v>Motorista Executivo (adicional de periculosidade)</v>
      </c>
      <c r="C120" s="131">
        <f>ROUND(P109,2)</f>
        <v>10274.59</v>
      </c>
      <c r="D120" s="131"/>
      <c r="E120" s="132">
        <v>1</v>
      </c>
      <c r="F120" s="132"/>
      <c r="G120" s="135">
        <f t="shared" si="21"/>
        <v>10274.59</v>
      </c>
      <c r="H120" s="135"/>
      <c r="I120" s="132">
        <v>2</v>
      </c>
      <c r="J120" s="132"/>
      <c r="K120" s="131">
        <f t="shared" si="22"/>
        <v>20549.18</v>
      </c>
      <c r="L120" s="131"/>
    </row>
    <row r="121" spans="1:14">
      <c r="A121" s="25" t="s">
        <v>247</v>
      </c>
      <c r="B121" s="35" t="s">
        <v>248</v>
      </c>
      <c r="C121" s="131">
        <f>'Custo Diária c pernoite'!D16</f>
        <v>368.88</v>
      </c>
      <c r="D121" s="131"/>
      <c r="E121" s="136">
        <v>1</v>
      </c>
      <c r="F121" s="137"/>
      <c r="G121" s="140">
        <f t="shared" ref="G121" si="24">(C121*E121)</f>
        <v>368.88</v>
      </c>
      <c r="H121" s="141"/>
      <c r="I121" s="136">
        <v>7</v>
      </c>
      <c r="J121" s="137"/>
      <c r="K121" s="131">
        <f t="shared" ref="K121:K122" si="25">G121*I121</f>
        <v>2582.16</v>
      </c>
      <c r="L121" s="131"/>
    </row>
    <row r="122" spans="1:14">
      <c r="A122" s="25" t="s">
        <v>286</v>
      </c>
      <c r="B122" s="35" t="s">
        <v>249</v>
      </c>
      <c r="C122" s="133">
        <f>'Custo Diária s perinoite'!D16</f>
        <v>307.41000000000003</v>
      </c>
      <c r="D122" s="134"/>
      <c r="E122" s="136">
        <v>1</v>
      </c>
      <c r="F122" s="137"/>
      <c r="G122" s="140">
        <f t="shared" ref="G122" si="26">(C122*E122)</f>
        <v>307.41000000000003</v>
      </c>
      <c r="H122" s="141"/>
      <c r="I122" s="136">
        <v>7</v>
      </c>
      <c r="J122" s="137"/>
      <c r="K122" s="131">
        <f t="shared" si="25"/>
        <v>2151.8700000000003</v>
      </c>
      <c r="L122" s="131"/>
    </row>
    <row r="123" spans="1:14">
      <c r="A123" s="138" t="s">
        <v>95</v>
      </c>
      <c r="B123" s="138"/>
      <c r="C123" s="128"/>
      <c r="D123" s="128"/>
      <c r="E123" s="128"/>
      <c r="F123" s="128"/>
      <c r="G123" s="128"/>
      <c r="H123" s="128"/>
      <c r="I123" s="132">
        <f>SUM(I114:I120)</f>
        <v>230</v>
      </c>
      <c r="J123" s="132"/>
      <c r="K123" s="139">
        <f>SUM(K114:K122)</f>
        <v>1765115.9299999997</v>
      </c>
      <c r="L123" s="139"/>
    </row>
    <row r="124" spans="1:14">
      <c r="A124" s="138" t="s">
        <v>221</v>
      </c>
      <c r="B124" s="138"/>
      <c r="C124" s="128"/>
      <c r="D124" s="128"/>
      <c r="E124" s="128"/>
      <c r="F124" s="128"/>
      <c r="G124" s="128"/>
      <c r="H124" s="128"/>
      <c r="I124" s="128"/>
      <c r="J124" s="128"/>
      <c r="K124" s="139">
        <f>K123*12</f>
        <v>21181391.159999996</v>
      </c>
      <c r="L124" s="139"/>
    </row>
    <row r="125" spans="1:14">
      <c r="A125" s="138" t="s">
        <v>222</v>
      </c>
      <c r="B125" s="138"/>
      <c r="C125" s="128"/>
      <c r="D125" s="128"/>
      <c r="E125" s="128"/>
      <c r="F125" s="128"/>
      <c r="G125" s="128"/>
      <c r="H125" s="128"/>
      <c r="I125" s="128"/>
      <c r="J125" s="128"/>
      <c r="K125" s="139">
        <f>K123*30</f>
        <v>52953477.899999991</v>
      </c>
      <c r="L125" s="139"/>
    </row>
  </sheetData>
  <mergeCells count="174">
    <mergeCell ref="C121:D121"/>
    <mergeCell ref="C122:D122"/>
    <mergeCell ref="E121:F121"/>
    <mergeCell ref="E122:F122"/>
    <mergeCell ref="G122:H122"/>
    <mergeCell ref="G121:H121"/>
    <mergeCell ref="I121:J121"/>
    <mergeCell ref="I122:J122"/>
    <mergeCell ref="K122:L122"/>
    <mergeCell ref="K121:L121"/>
    <mergeCell ref="A125:B125"/>
    <mergeCell ref="C125:J125"/>
    <mergeCell ref="K125:L125"/>
    <mergeCell ref="A123:B123"/>
    <mergeCell ref="C123:H123"/>
    <mergeCell ref="I123:J123"/>
    <mergeCell ref="K123:L123"/>
    <mergeCell ref="A124:B124"/>
    <mergeCell ref="C124:J124"/>
    <mergeCell ref="K124:L124"/>
    <mergeCell ref="C118:D118"/>
    <mergeCell ref="E118:F118"/>
    <mergeCell ref="G118:H118"/>
    <mergeCell ref="I118:J118"/>
    <mergeCell ref="K118:L118"/>
    <mergeCell ref="C120:D120"/>
    <mergeCell ref="E120:F120"/>
    <mergeCell ref="G120:H120"/>
    <mergeCell ref="I120:J120"/>
    <mergeCell ref="K120:L120"/>
    <mergeCell ref="C119:D119"/>
    <mergeCell ref="E119:F119"/>
    <mergeCell ref="G119:H119"/>
    <mergeCell ref="I119:J119"/>
    <mergeCell ref="K119:L119"/>
    <mergeCell ref="C116:D116"/>
    <mergeCell ref="E116:F116"/>
    <mergeCell ref="G116:H116"/>
    <mergeCell ref="I116:J116"/>
    <mergeCell ref="K116:L116"/>
    <mergeCell ref="C117:D117"/>
    <mergeCell ref="E117:F117"/>
    <mergeCell ref="G117:H117"/>
    <mergeCell ref="I117:J117"/>
    <mergeCell ref="K117:L117"/>
    <mergeCell ref="C114:D114"/>
    <mergeCell ref="E114:F114"/>
    <mergeCell ref="G114:H114"/>
    <mergeCell ref="I114:J114"/>
    <mergeCell ref="K114:L114"/>
    <mergeCell ref="C115:D115"/>
    <mergeCell ref="E115:F115"/>
    <mergeCell ref="G115:H115"/>
    <mergeCell ref="I115:J115"/>
    <mergeCell ref="K115:L115"/>
    <mergeCell ref="A101:B101"/>
    <mergeCell ref="A107:B107"/>
    <mergeCell ref="A109:B109"/>
    <mergeCell ref="A112:L112"/>
    <mergeCell ref="A113:B113"/>
    <mergeCell ref="C113:D113"/>
    <mergeCell ref="E113:F113"/>
    <mergeCell ref="G113:H113"/>
    <mergeCell ref="I113:J113"/>
    <mergeCell ref="K113:L113"/>
    <mergeCell ref="K100:L100"/>
    <mergeCell ref="O100:P100"/>
    <mergeCell ref="A98:B98"/>
    <mergeCell ref="A100:B100"/>
    <mergeCell ref="C100:D100"/>
    <mergeCell ref="E100:F100"/>
    <mergeCell ref="G100:H100"/>
    <mergeCell ref="I100:J100"/>
    <mergeCell ref="K90:L90"/>
    <mergeCell ref="O90:P90"/>
    <mergeCell ref="M90:N90"/>
    <mergeCell ref="M100:N100"/>
    <mergeCell ref="A87:B87"/>
    <mergeCell ref="A90:B90"/>
    <mergeCell ref="C90:D90"/>
    <mergeCell ref="E90:F90"/>
    <mergeCell ref="G90:H90"/>
    <mergeCell ref="I90:J90"/>
    <mergeCell ref="K81:L81"/>
    <mergeCell ref="O81:P81"/>
    <mergeCell ref="A78:B78"/>
    <mergeCell ref="A81:B81"/>
    <mergeCell ref="C81:D81"/>
    <mergeCell ref="E81:F81"/>
    <mergeCell ref="G81:H81"/>
    <mergeCell ref="I81:J81"/>
    <mergeCell ref="M81:N81"/>
    <mergeCell ref="K74:L74"/>
    <mergeCell ref="O74:P74"/>
    <mergeCell ref="A71:B71"/>
    <mergeCell ref="A74:B74"/>
    <mergeCell ref="C74:D74"/>
    <mergeCell ref="E74:F74"/>
    <mergeCell ref="G74:H74"/>
    <mergeCell ref="I74:J74"/>
    <mergeCell ref="K68:L68"/>
    <mergeCell ref="O68:P68"/>
    <mergeCell ref="M68:N68"/>
    <mergeCell ref="M74:N74"/>
    <mergeCell ref="A65:B65"/>
    <mergeCell ref="A68:B68"/>
    <mergeCell ref="C68:D68"/>
    <mergeCell ref="E68:F68"/>
    <mergeCell ref="G68:H68"/>
    <mergeCell ref="I68:J68"/>
    <mergeCell ref="K57:L57"/>
    <mergeCell ref="O57:P57"/>
    <mergeCell ref="A54:B54"/>
    <mergeCell ref="A57:B57"/>
    <mergeCell ref="C57:D57"/>
    <mergeCell ref="E57:F57"/>
    <mergeCell ref="G57:H57"/>
    <mergeCell ref="I57:J57"/>
    <mergeCell ref="M57:N57"/>
    <mergeCell ref="K47:L47"/>
    <mergeCell ref="O47:P47"/>
    <mergeCell ref="A44:B44"/>
    <mergeCell ref="A47:B47"/>
    <mergeCell ref="C47:D47"/>
    <mergeCell ref="E47:F47"/>
    <mergeCell ref="G47:H47"/>
    <mergeCell ref="I47:J47"/>
    <mergeCell ref="K39:L39"/>
    <mergeCell ref="O39:P39"/>
    <mergeCell ref="M39:N39"/>
    <mergeCell ref="M47:N47"/>
    <mergeCell ref="A36:B36"/>
    <mergeCell ref="A39:B39"/>
    <mergeCell ref="C39:D39"/>
    <mergeCell ref="E39:F39"/>
    <mergeCell ref="G39:H39"/>
    <mergeCell ref="I39:J39"/>
    <mergeCell ref="O30:P30"/>
    <mergeCell ref="A33:A34"/>
    <mergeCell ref="B33:B34"/>
    <mergeCell ref="A30:B30"/>
    <mergeCell ref="C30:D30"/>
    <mergeCell ref="E30:F30"/>
    <mergeCell ref="G30:H30"/>
    <mergeCell ref="I30:J30"/>
    <mergeCell ref="K30:L30"/>
    <mergeCell ref="M30:N30"/>
    <mergeCell ref="A27:B27"/>
    <mergeCell ref="A17:B17"/>
    <mergeCell ref="C17:D17"/>
    <mergeCell ref="E17:F17"/>
    <mergeCell ref="G17:H17"/>
    <mergeCell ref="I17:J17"/>
    <mergeCell ref="K17:L17"/>
    <mergeCell ref="O10:P10"/>
    <mergeCell ref="A14:B14"/>
    <mergeCell ref="A10:B10"/>
    <mergeCell ref="C10:D10"/>
    <mergeCell ref="E10:F10"/>
    <mergeCell ref="G10:H10"/>
    <mergeCell ref="I10:J10"/>
    <mergeCell ref="K10:L10"/>
    <mergeCell ref="M10:N10"/>
    <mergeCell ref="M17:N17"/>
    <mergeCell ref="O1:P1"/>
    <mergeCell ref="A7:B7"/>
    <mergeCell ref="A1:B1"/>
    <mergeCell ref="C1:D1"/>
    <mergeCell ref="E1:F1"/>
    <mergeCell ref="G1:H1"/>
    <mergeCell ref="I1:J1"/>
    <mergeCell ref="K1:L1"/>
    <mergeCell ref="O17:P17"/>
    <mergeCell ref="M1:N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O14:P22 A113:P114 O84:P86 A124:P126 A112:N112 O27:P31 A23:A26 O23:P26 A12:A13 O12:P13 O34:P80 A32 A33 O32:P33 B120:H120 A115:H115 J115:P115 A123:J123 L123:P123 O82:P82 A81:H81 O81:P81 O88:P109 A87:I87 K87 O87 A88:L110 M110 J81:L81 A82:L82 C32:L33 A34:L80 C12:L13 C23:L26 A27:L31 A84:L86 A14:L22 A111:M111 A116:P118 J120:P1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0B0DB-B27D-4A32-9F7D-1CDABD4BEC43}">
  <dimension ref="A1:D16"/>
  <sheetViews>
    <sheetView workbookViewId="0">
      <selection activeCell="C14" sqref="C14"/>
    </sheetView>
  </sheetViews>
  <sheetFormatPr defaultRowHeight="14.5"/>
  <cols>
    <col min="2" max="2" width="20.08984375" customWidth="1"/>
    <col min="3" max="3" width="12.08984375" customWidth="1"/>
    <col min="4" max="4" width="21" customWidth="1"/>
  </cols>
  <sheetData>
    <row r="1" spans="1:4">
      <c r="A1" s="148" t="s">
        <v>236</v>
      </c>
      <c r="B1" s="148"/>
      <c r="C1" s="148"/>
      <c r="D1" s="148"/>
    </row>
    <row r="2" spans="1:4">
      <c r="A2" s="52">
        <v>1</v>
      </c>
      <c r="B2" s="149" t="s">
        <v>237</v>
      </c>
      <c r="C2" s="150"/>
      <c r="D2" s="52" t="s">
        <v>238</v>
      </c>
    </row>
    <row r="3" spans="1:4">
      <c r="A3" s="53"/>
      <c r="B3" s="151" t="s">
        <v>239</v>
      </c>
      <c r="C3" s="152"/>
      <c r="D3" s="66">
        <v>300</v>
      </c>
    </row>
    <row r="4" spans="1:4">
      <c r="A4" s="53"/>
      <c r="B4" s="153" t="s">
        <v>240</v>
      </c>
      <c r="C4" s="154"/>
      <c r="D4" s="54">
        <f>TRUNC(SUM(D3:D3),2)</f>
        <v>300</v>
      </c>
    </row>
    <row r="5" spans="1:4" ht="26">
      <c r="A5" s="55">
        <v>2</v>
      </c>
      <c r="B5" s="56" t="s">
        <v>241</v>
      </c>
      <c r="C5" s="55" t="s">
        <v>197</v>
      </c>
      <c r="D5" s="55" t="s">
        <v>238</v>
      </c>
    </row>
    <row r="6" spans="1:4">
      <c r="A6" s="53" t="s">
        <v>0</v>
      </c>
      <c r="B6" s="57" t="s">
        <v>65</v>
      </c>
      <c r="C6" s="58">
        <f>'Planilha de Custos'!C92</f>
        <v>0.01</v>
      </c>
      <c r="D6" s="59">
        <f>TRUNC(D4*C6,2)</f>
        <v>3</v>
      </c>
    </row>
    <row r="7" spans="1:4">
      <c r="A7" s="53" t="s">
        <v>1</v>
      </c>
      <c r="B7" s="57" t="s">
        <v>66</v>
      </c>
      <c r="C7" s="58">
        <f>'Planilha de Custos'!C93</f>
        <v>4.3999999999999997E-2</v>
      </c>
      <c r="D7" s="60">
        <f>TRUNC((D4+D6)*C7,2)</f>
        <v>13.33</v>
      </c>
    </row>
    <row r="8" spans="1:4" ht="37.5" customHeight="1">
      <c r="A8" s="55"/>
      <c r="B8" s="155" t="s">
        <v>242</v>
      </c>
      <c r="C8" s="156"/>
      <c r="D8" s="61">
        <f>TRUNC(SUM(D6:D7),2)</f>
        <v>16.329999999999998</v>
      </c>
    </row>
    <row r="9" spans="1:4">
      <c r="A9" s="157"/>
      <c r="B9" s="158"/>
      <c r="C9" s="158"/>
      <c r="D9" s="159"/>
    </row>
    <row r="10" spans="1:4">
      <c r="A10" s="55">
        <v>3</v>
      </c>
      <c r="B10" s="56" t="s">
        <v>67</v>
      </c>
      <c r="C10" s="55" t="s">
        <v>197</v>
      </c>
      <c r="D10" s="55" t="s">
        <v>238</v>
      </c>
    </row>
    <row r="11" spans="1:4">
      <c r="A11" s="62"/>
      <c r="B11" s="63" t="s">
        <v>69</v>
      </c>
      <c r="C11" s="58">
        <f>'Planilha de Custos'!C95</f>
        <v>1.6500000000000001E-2</v>
      </c>
      <c r="D11" s="60">
        <f>TRUNC(((D4+D8)/(1-C14))*C11,2)</f>
        <v>6.08</v>
      </c>
    </row>
    <row r="12" spans="1:4">
      <c r="A12" s="62"/>
      <c r="B12" s="63" t="s">
        <v>71</v>
      </c>
      <c r="C12" s="58">
        <f>'Planilha de Custos'!C96</f>
        <v>7.5999999999999998E-2</v>
      </c>
      <c r="D12" s="60">
        <f>TRUNC(((D4+D8)/(1-C14))*C12,2)</f>
        <v>28.03</v>
      </c>
    </row>
    <row r="13" spans="1:4">
      <c r="A13" s="62"/>
      <c r="B13" s="63" t="s">
        <v>73</v>
      </c>
      <c r="C13" s="58">
        <f>'Planilha de Custos'!C97</f>
        <v>0.05</v>
      </c>
      <c r="D13" s="60">
        <f>TRUNC(((D4+D8)/(1-C14))*C13,2)</f>
        <v>18.440000000000001</v>
      </c>
    </row>
    <row r="14" spans="1:4">
      <c r="A14" s="55"/>
      <c r="B14" s="56" t="s">
        <v>243</v>
      </c>
      <c r="C14" s="64">
        <f>SUM(C11:C13)</f>
        <v>0.14250000000000002</v>
      </c>
      <c r="D14" s="61">
        <f>TRUNC(SUM(D11:D13),2)</f>
        <v>52.55</v>
      </c>
    </row>
    <row r="15" spans="1:4">
      <c r="A15" s="142"/>
      <c r="B15" s="143"/>
      <c r="C15" s="143"/>
      <c r="D15" s="144"/>
    </row>
    <row r="16" spans="1:4">
      <c r="A16" s="145" t="s">
        <v>244</v>
      </c>
      <c r="B16" s="146"/>
      <c r="C16" s="147"/>
      <c r="D16" s="65">
        <f>TRUNC(TRUNC((D4+D8+D14),2),2)</f>
        <v>368.88</v>
      </c>
    </row>
  </sheetData>
  <mergeCells count="8">
    <mergeCell ref="A15:D15"/>
    <mergeCell ref="A16:C16"/>
    <mergeCell ref="A1:D1"/>
    <mergeCell ref="B2:C2"/>
    <mergeCell ref="B3:C3"/>
    <mergeCell ref="B4:C4"/>
    <mergeCell ref="B8:C8"/>
    <mergeCell ref="A9:D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4D64F-7555-4AE3-9766-CC04D2BB1A42}">
  <dimension ref="A1:D16"/>
  <sheetViews>
    <sheetView topLeftCell="A4" workbookViewId="0">
      <selection activeCell="C17" sqref="C17"/>
    </sheetView>
  </sheetViews>
  <sheetFormatPr defaultRowHeight="14.5"/>
  <cols>
    <col min="2" max="2" width="16.54296875" customWidth="1"/>
    <col min="3" max="3" width="15.90625" customWidth="1"/>
    <col min="4" max="4" width="26.90625" customWidth="1"/>
  </cols>
  <sheetData>
    <row r="1" spans="1:4">
      <c r="A1" s="161" t="s">
        <v>236</v>
      </c>
      <c r="B1" s="161"/>
      <c r="C1" s="161"/>
      <c r="D1" s="161"/>
    </row>
    <row r="2" spans="1:4">
      <c r="A2" s="52">
        <v>1</v>
      </c>
      <c r="B2" s="162" t="s">
        <v>237</v>
      </c>
      <c r="C2" s="162"/>
      <c r="D2" s="52" t="s">
        <v>238</v>
      </c>
    </row>
    <row r="3" spans="1:4">
      <c r="A3" s="53"/>
      <c r="B3" s="163" t="s">
        <v>245</v>
      </c>
      <c r="C3" s="163"/>
      <c r="D3" s="66">
        <v>250</v>
      </c>
    </row>
    <row r="4" spans="1:4">
      <c r="A4" s="53"/>
      <c r="B4" s="164" t="s">
        <v>240</v>
      </c>
      <c r="C4" s="164"/>
      <c r="D4" s="54">
        <f>TRUNC(SUM(D3:D3),2)</f>
        <v>250</v>
      </c>
    </row>
    <row r="5" spans="1:4" ht="26">
      <c r="A5" s="55">
        <v>2</v>
      </c>
      <c r="B5" s="56" t="s">
        <v>241</v>
      </c>
      <c r="C5" s="55" t="s">
        <v>197</v>
      </c>
      <c r="D5" s="55" t="s">
        <v>238</v>
      </c>
    </row>
    <row r="6" spans="1:4">
      <c r="A6" s="53" t="s">
        <v>0</v>
      </c>
      <c r="B6" s="57" t="s">
        <v>65</v>
      </c>
      <c r="C6" s="58">
        <f>'Planilha de Custos'!C92</f>
        <v>0.01</v>
      </c>
      <c r="D6" s="59">
        <f>TRUNC(D4*C6,2)</f>
        <v>2.5</v>
      </c>
    </row>
    <row r="7" spans="1:4">
      <c r="A7" s="53" t="s">
        <v>1</v>
      </c>
      <c r="B7" s="57" t="s">
        <v>66</v>
      </c>
      <c r="C7" s="58">
        <f>'Planilha de Custos'!C93</f>
        <v>4.3999999999999997E-2</v>
      </c>
      <c r="D7" s="60">
        <f>TRUNC((D4+D6)*C7,2)</f>
        <v>11.11</v>
      </c>
    </row>
    <row r="8" spans="1:4" ht="34" customHeight="1">
      <c r="A8" s="55"/>
      <c r="B8" s="165" t="s">
        <v>242</v>
      </c>
      <c r="C8" s="165"/>
      <c r="D8" s="61">
        <f>TRUNC(SUM(D6:D7),2)</f>
        <v>13.61</v>
      </c>
    </row>
    <row r="9" spans="1:4">
      <c r="A9" s="166"/>
      <c r="B9" s="166"/>
      <c r="C9" s="166"/>
      <c r="D9" s="166"/>
    </row>
    <row r="10" spans="1:4">
      <c r="A10" s="55">
        <v>3</v>
      </c>
      <c r="B10" s="56" t="s">
        <v>67</v>
      </c>
      <c r="C10" s="55" t="s">
        <v>197</v>
      </c>
      <c r="D10" s="55" t="s">
        <v>238</v>
      </c>
    </row>
    <row r="11" spans="1:4">
      <c r="A11" s="62"/>
      <c r="B11" s="63" t="s">
        <v>69</v>
      </c>
      <c r="C11" s="58">
        <f>'Planilha de Custos'!C95</f>
        <v>1.6500000000000001E-2</v>
      </c>
      <c r="D11" s="60">
        <f>TRUNC(((D4+D8)/(1-C14))*C11,2)</f>
        <v>5.07</v>
      </c>
    </row>
    <row r="12" spans="1:4">
      <c r="A12" s="62"/>
      <c r="B12" s="63" t="s">
        <v>71</v>
      </c>
      <c r="C12" s="58">
        <f>'Planilha de Custos'!C96</f>
        <v>7.5999999999999998E-2</v>
      </c>
      <c r="D12" s="60">
        <f>TRUNC(((D4+D8)/(1-C14))*C12,2)</f>
        <v>23.36</v>
      </c>
    </row>
    <row r="13" spans="1:4">
      <c r="A13" s="62"/>
      <c r="B13" s="63" t="s">
        <v>73</v>
      </c>
      <c r="C13" s="58">
        <f>'Planilha de Custos'!C97</f>
        <v>0.05</v>
      </c>
      <c r="D13" s="60">
        <f>TRUNC(((D4+D8)/(1-C14))*C13,2)</f>
        <v>15.37</v>
      </c>
    </row>
    <row r="14" spans="1:4" ht="26">
      <c r="A14" s="55"/>
      <c r="B14" s="56" t="s">
        <v>243</v>
      </c>
      <c r="C14" s="64">
        <f>SUM(C11:C13)</f>
        <v>0.14250000000000002</v>
      </c>
      <c r="D14" s="61">
        <f>TRUNC(SUM(D11:D13),2)</f>
        <v>43.8</v>
      </c>
    </row>
    <row r="15" spans="1:4">
      <c r="A15" s="160"/>
      <c r="B15" s="160"/>
      <c r="C15" s="160"/>
      <c r="D15" s="160"/>
    </row>
    <row r="16" spans="1:4">
      <c r="A16" s="145" t="s">
        <v>244</v>
      </c>
      <c r="B16" s="146"/>
      <c r="C16" s="147"/>
      <c r="D16" s="65">
        <f>TRUNC(TRUNC((D4+D8+D14),2),2)</f>
        <v>307.41000000000003</v>
      </c>
    </row>
  </sheetData>
  <mergeCells count="8">
    <mergeCell ref="A15:D15"/>
    <mergeCell ref="A16:C16"/>
    <mergeCell ref="A1:D1"/>
    <mergeCell ref="B2:C2"/>
    <mergeCell ref="B3:C3"/>
    <mergeCell ref="B4:C4"/>
    <mergeCell ref="B8:C8"/>
    <mergeCell ref="A9:D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Asistente Administrativo</vt:lpstr>
      <vt:lpstr>Motorista Exec.</vt:lpstr>
      <vt:lpstr>Uniformes</vt:lpstr>
      <vt:lpstr>LDI</vt:lpstr>
      <vt:lpstr>Planilha de Custos</vt:lpstr>
      <vt:lpstr>Custo Diária c pernoite</vt:lpstr>
      <vt:lpstr>Custo Diária s perinoite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 Luiz Graziato</dc:creator>
  <dc:description/>
  <cp:lastModifiedBy>Ricardo Vitor Duarte</cp:lastModifiedBy>
  <cp:revision>33</cp:revision>
  <dcterms:created xsi:type="dcterms:W3CDTF">2021-12-30T17:46:26Z</dcterms:created>
  <dcterms:modified xsi:type="dcterms:W3CDTF">2023-11-01T16:35:46Z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SIP_Label_0559fe9b-6987-45ef-b918-e76911e153f0_Enabled">
    <vt:lpwstr>true</vt:lpwstr>
  </property>
  <property fmtid="{D5CDD505-2E9C-101B-9397-08002B2CF9AE}" pid="9" name="MSIP_Label_0559fe9b-6987-45ef-b918-e76911e153f0_SetDate">
    <vt:lpwstr>2023-05-30T12:39:28Z</vt:lpwstr>
  </property>
  <property fmtid="{D5CDD505-2E9C-101B-9397-08002B2CF9AE}" pid="10" name="MSIP_Label_0559fe9b-6987-45ef-b918-e76911e153f0_Method">
    <vt:lpwstr>Privileged</vt:lpwstr>
  </property>
  <property fmtid="{D5CDD505-2E9C-101B-9397-08002B2CF9AE}" pid="11" name="MSIP_Label_0559fe9b-6987-45ef-b918-e76911e153f0_Name">
    <vt:lpwstr>Público</vt:lpwstr>
  </property>
  <property fmtid="{D5CDD505-2E9C-101B-9397-08002B2CF9AE}" pid="12" name="MSIP_Label_0559fe9b-6987-45ef-b918-e76911e153f0_SiteId">
    <vt:lpwstr>eb090420-444c-43f7-91f2-4b8da6bfe8e1</vt:lpwstr>
  </property>
  <property fmtid="{D5CDD505-2E9C-101B-9397-08002B2CF9AE}" pid="13" name="MSIP_Label_0559fe9b-6987-45ef-b918-e76911e153f0_ActionId">
    <vt:lpwstr>1beeb608-9c45-4668-8857-84405555c9ad</vt:lpwstr>
  </property>
  <property fmtid="{D5CDD505-2E9C-101B-9397-08002B2CF9AE}" pid="14" name="MSIP_Label_0559fe9b-6987-45ef-b918-e76911e153f0_ContentBits">
    <vt:lpwstr>0</vt:lpwstr>
  </property>
</Properties>
</file>